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ocietyofactuaries-my.sharepoint.com/personal/mdulceak_soa_org/Documents/U_Drive/Solutions/May 2025 Solutions/ILALFM/"/>
    </mc:Choice>
  </mc:AlternateContent>
  <xr:revisionPtr revIDLastSave="4" documentId="8_{D0C5483D-120F-45E5-9820-F9544E705BB3}" xr6:coauthVersionLast="47" xr6:coauthVersionMax="47" xr10:uidLastSave="{680DCD37-05CB-4843-9154-288EEC5FD7D7}"/>
  <bookViews>
    <workbookView xWindow="-96" yWindow="0" windowWidth="11712" windowHeight="12336" tabRatio="862" firstSheet="3" activeTab="6" xr2:uid="{00000000-000D-0000-FFFF-FFFF00000000}"/>
  </bookViews>
  <sheets>
    <sheet name="Q1 b(i) Solutions" sheetId="203" r:id="rId1"/>
    <sheet name="Q1 b(ii) Solutions" sheetId="205" r:id="rId2"/>
    <sheet name="Q1 b(iii) + b(iv) Solutions" sheetId="206" r:id="rId3"/>
    <sheet name="LFM Q3(b) Solution" sheetId="207" r:id="rId4"/>
    <sheet name="Q5(a),(b)" sheetId="208" r:id="rId5"/>
    <sheet name="LFMU Q6(c)" sheetId="209" r:id="rId6"/>
    <sheet name="Q8(a)" sheetId="210" r:id="rId7"/>
  </sheets>
  <definedNames>
    <definedName name="__123Graph_BCHART91a" hidden="1">#REF!</definedName>
    <definedName name="_Fill" hidden="1">#REF!</definedName>
    <definedName name="_Hlk178412277" localSheetId="5">'LFMU Q6(c)'!#REF!</definedName>
    <definedName name="chicago">#REF!</definedName>
    <definedName name="CognitiveLevels">#REF!</definedName>
    <definedName name="FSSplit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O_1">#REF!</definedName>
    <definedName name="LO_2">#REF!</definedName>
    <definedName name="LO_3">#REF!</definedName>
    <definedName name="LO_4">#REF!</definedName>
    <definedName name="LO_5">#REF!</definedName>
    <definedName name="LO_6">#REF!</definedName>
    <definedName name="LOList">#REF!</definedName>
    <definedName name="OLE_LINK5" localSheetId="5">'LFMU Q6(c)'!$B$2</definedName>
    <definedName name="OLE_LINK6" localSheetId="5">'LFMU Q6(c)'!$A$15</definedName>
    <definedName name="Q_sources" hidden="1">#REF!</definedName>
    <definedName name="SyllabusListing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210" l="1"/>
  <c r="B25" i="210" s="1"/>
  <c r="E33" i="210"/>
  <c r="F33" i="210"/>
  <c r="G33" i="210" s="1"/>
  <c r="D34" i="210" l="1"/>
  <c r="E34" i="210"/>
  <c r="G34" i="210"/>
  <c r="F34" i="210"/>
  <c r="C41" i="210"/>
  <c r="C44" i="210" s="1"/>
  <c r="H34" i="210"/>
  <c r="M5" i="209"/>
  <c r="M6" i="209"/>
  <c r="M8" i="209" s="1"/>
  <c r="M13" i="209"/>
  <c r="M16" i="209" s="1"/>
  <c r="M14" i="209"/>
  <c r="M21" i="209"/>
  <c r="M22" i="209"/>
  <c r="M24" i="209"/>
  <c r="A10" i="208"/>
  <c r="A11" i="208" s="1"/>
  <c r="A12" i="208" s="1"/>
  <c r="A13" i="208" s="1"/>
  <c r="A14" i="208" s="1"/>
  <c r="A15" i="208" s="1"/>
  <c r="A16" i="208" s="1"/>
  <c r="A17" i="208" s="1"/>
  <c r="A18" i="208" s="1"/>
  <c r="A19" i="208" s="1"/>
  <c r="A20" i="208" s="1"/>
  <c r="A21" i="208" s="1"/>
  <c r="A22" i="208" s="1"/>
  <c r="A23" i="208" s="1"/>
  <c r="A24" i="208" s="1"/>
  <c r="A25" i="208" s="1"/>
  <c r="A26" i="208" s="1"/>
  <c r="A27" i="208" s="1"/>
  <c r="A28" i="208" s="1"/>
  <c r="A29" i="208" s="1"/>
  <c r="A30" i="208" s="1"/>
  <c r="A31" i="208" s="1"/>
  <c r="A32" i="208" s="1"/>
  <c r="A33" i="208" s="1"/>
  <c r="E39" i="208"/>
  <c r="F39" i="208"/>
  <c r="A40" i="208"/>
  <c r="A41" i="208" s="1"/>
  <c r="A42" i="208" s="1"/>
  <c r="A43" i="208" s="1"/>
  <c r="A44" i="208" s="1"/>
  <c r="A45" i="208" s="1"/>
  <c r="A46" i="208" s="1"/>
  <c r="A47" i="208" s="1"/>
  <c r="A48" i="208" s="1"/>
  <c r="A49" i="208" s="1"/>
  <c r="A50" i="208" s="1"/>
  <c r="A51" i="208" s="1"/>
  <c r="A52" i="208" s="1"/>
  <c r="A53" i="208" s="1"/>
  <c r="A54" i="208" s="1"/>
  <c r="A55" i="208" s="1"/>
  <c r="A56" i="208" s="1"/>
  <c r="A57" i="208" s="1"/>
  <c r="A58" i="208" s="1"/>
  <c r="A59" i="208" s="1"/>
  <c r="A60" i="208" s="1"/>
  <c r="A61" i="208" s="1"/>
  <c r="A62" i="208" s="1"/>
  <c r="A63" i="208" s="1"/>
  <c r="E40" i="208"/>
  <c r="F40" i="208"/>
  <c r="G40" i="208" s="1"/>
  <c r="G41" i="208" s="1"/>
  <c r="E41" i="208"/>
  <c r="F41" i="208"/>
  <c r="E42" i="208"/>
  <c r="F42" i="208"/>
  <c r="G42" i="208" s="1"/>
  <c r="G43" i="208" s="1"/>
  <c r="G44" i="208" s="1"/>
  <c r="G45" i="208" s="1"/>
  <c r="G46" i="208" s="1"/>
  <c r="E43" i="208"/>
  <c r="F43" i="208"/>
  <c r="E44" i="208"/>
  <c r="F44" i="208"/>
  <c r="E45" i="208"/>
  <c r="F45" i="208"/>
  <c r="E46" i="208"/>
  <c r="F46" i="208"/>
  <c r="E47" i="208"/>
  <c r="F47" i="208"/>
  <c r="E48" i="208"/>
  <c r="F48" i="208"/>
  <c r="E49" i="208"/>
  <c r="F49" i="208"/>
  <c r="E50" i="208"/>
  <c r="F50" i="208"/>
  <c r="E51" i="208"/>
  <c r="F51" i="208"/>
  <c r="E52" i="208"/>
  <c r="F52" i="208"/>
  <c r="E53" i="208"/>
  <c r="F53" i="208"/>
  <c r="E54" i="208"/>
  <c r="F54" i="208"/>
  <c r="E55" i="208"/>
  <c r="F55" i="208"/>
  <c r="E56" i="208"/>
  <c r="F56" i="208"/>
  <c r="E57" i="208"/>
  <c r="F57" i="208"/>
  <c r="E58" i="208"/>
  <c r="F58" i="208"/>
  <c r="E59" i="208"/>
  <c r="F59" i="208"/>
  <c r="E60" i="208"/>
  <c r="F60" i="208"/>
  <c r="E61" i="208"/>
  <c r="F61" i="208"/>
  <c r="E62" i="208"/>
  <c r="F62" i="208"/>
  <c r="E63" i="208"/>
  <c r="F63" i="208"/>
  <c r="A70" i="208"/>
  <c r="A71" i="208"/>
  <c r="A72" i="208"/>
  <c r="A73" i="208"/>
  <c r="A74" i="208" s="1"/>
  <c r="A75" i="208" s="1"/>
  <c r="A76" i="208" s="1"/>
  <c r="A77" i="208" s="1"/>
  <c r="A78" i="208" s="1"/>
  <c r="A79" i="208" s="1"/>
  <c r="A80" i="208" s="1"/>
  <c r="A81" i="208" s="1"/>
  <c r="A82" i="208" s="1"/>
  <c r="A83" i="208" s="1"/>
  <c r="A84" i="208" s="1"/>
  <c r="A85" i="208" s="1"/>
  <c r="A86" i="208" s="1"/>
  <c r="A87" i="208" s="1"/>
  <c r="A88" i="208" s="1"/>
  <c r="A89" i="208" s="1"/>
  <c r="A90" i="208" s="1"/>
  <c r="A91" i="208" s="1"/>
  <c r="A92" i="208" s="1"/>
  <c r="A93" i="208" s="1"/>
  <c r="A94" i="208" s="1"/>
  <c r="A95" i="208" s="1"/>
  <c r="A96" i="208" s="1"/>
  <c r="A97" i="208" s="1"/>
  <c r="A98" i="208" s="1"/>
  <c r="A99" i="208" s="1"/>
  <c r="A100" i="208" s="1"/>
  <c r="A101" i="208" s="1"/>
  <c r="A102" i="208" s="1"/>
  <c r="A103" i="208" s="1"/>
  <c r="J119" i="208"/>
  <c r="H121" i="208"/>
  <c r="H122" i="208"/>
  <c r="G131" i="208"/>
  <c r="H132" i="208"/>
  <c r="C133" i="208"/>
  <c r="J134" i="208" s="1"/>
  <c r="K135" i="208" s="1"/>
  <c r="G155" i="208"/>
  <c r="H156" i="208"/>
  <c r="C157" i="208"/>
  <c r="J158" i="208"/>
  <c r="K159" i="208"/>
  <c r="K161" i="208"/>
  <c r="G168" i="208" s="1"/>
  <c r="J171" i="208" s="1"/>
  <c r="K162" i="208"/>
  <c r="G169" i="208" s="1"/>
  <c r="P166" i="208"/>
  <c r="I177" i="208"/>
  <c r="I190" i="208" s="1"/>
  <c r="I179" i="208"/>
  <c r="I188" i="208"/>
  <c r="I138" i="208" l="1"/>
  <c r="J144" i="208" s="1"/>
  <c r="I176" i="208"/>
  <c r="I178" i="208" s="1"/>
  <c r="I180" i="208" s="1"/>
  <c r="I182" i="208" s="1"/>
  <c r="I184" i="208" s="1"/>
  <c r="I187" i="208"/>
  <c r="I189" i="208" s="1"/>
  <c r="I191" i="208" s="1"/>
  <c r="I193" i="208" s="1"/>
  <c r="I195" i="208" s="1"/>
  <c r="I197" i="208" s="1"/>
  <c r="I137" i="208"/>
  <c r="J143" i="208" s="1"/>
  <c r="G47" i="208"/>
  <c r="G48" i="208" s="1"/>
  <c r="G49" i="208" s="1"/>
  <c r="G50" i="208" s="1"/>
  <c r="G51" i="208" s="1"/>
  <c r="G52" i="208" s="1"/>
  <c r="G53" i="208" s="1"/>
  <c r="G54" i="208" s="1"/>
  <c r="G55" i="208" s="1"/>
  <c r="G56" i="208" s="1"/>
  <c r="G57" i="208" s="1"/>
  <c r="G58" i="208" s="1"/>
  <c r="G59" i="208" s="1"/>
  <c r="G60" i="208" s="1"/>
  <c r="G61" i="208" s="1"/>
  <c r="G62" i="208" s="1"/>
  <c r="G63" i="208" s="1"/>
  <c r="E6" i="207"/>
  <c r="F6" i="207"/>
  <c r="F10" i="207" s="1"/>
  <c r="D7" i="207"/>
  <c r="D17" i="207" s="1"/>
  <c r="C17" i="207" s="1"/>
  <c r="B8" i="207"/>
  <c r="B9" i="207" s="1"/>
  <c r="B10" i="207" s="1"/>
  <c r="B11" i="207" s="1"/>
  <c r="D8" i="207"/>
  <c r="E8" i="207"/>
  <c r="E18" i="207" s="1"/>
  <c r="C18" i="207" s="1"/>
  <c r="D9" i="207"/>
  <c r="E9" i="207"/>
  <c r="D10" i="207"/>
  <c r="E10" i="207"/>
  <c r="D11" i="207"/>
  <c r="E11" i="207"/>
  <c r="E16" i="207"/>
  <c r="F16" i="207"/>
  <c r="G16" i="207" s="1"/>
  <c r="H16" i="207" s="1"/>
  <c r="B18" i="207"/>
  <c r="B19" i="207" s="1"/>
  <c r="B20" i="207" s="1"/>
  <c r="B21" i="207" s="1"/>
  <c r="F11" i="207" l="1"/>
  <c r="F9" i="207"/>
  <c r="F19" i="207" s="1"/>
  <c r="C19" i="207" s="1"/>
  <c r="G6" i="207"/>
  <c r="L45" i="203"/>
  <c r="O11" i="203"/>
  <c r="Q11" i="203"/>
  <c r="G11" i="207" l="1"/>
  <c r="G10" i="207"/>
  <c r="G20" i="207" s="1"/>
  <c r="C20" i="207" s="1"/>
  <c r="H6" i="207"/>
  <c r="H11" i="207" s="1"/>
  <c r="H21" i="207" s="1"/>
  <c r="C21" i="207" s="1"/>
  <c r="H13" i="206"/>
  <c r="I13" i="206"/>
  <c r="E24" i="207" l="1"/>
  <c r="F11" i="205"/>
  <c r="F30" i="205" l="1"/>
  <c r="H15" i="206" l="1"/>
  <c r="H14" i="206"/>
  <c r="G13" i="206"/>
  <c r="G12" i="206"/>
  <c r="G11" i="205" l="1"/>
  <c r="J11" i="205" s="1"/>
  <c r="M12" i="203" l="1"/>
  <c r="M11" i="203" l="1"/>
  <c r="L11" i="203"/>
  <c r="I11" i="203"/>
  <c r="E30" i="205"/>
  <c r="D32" i="206" l="1"/>
  <c r="E32" i="206"/>
  <c r="D33" i="206"/>
  <c r="E33" i="206"/>
  <c r="D34" i="206"/>
  <c r="E34" i="206"/>
  <c r="D35" i="206"/>
  <c r="E35" i="206"/>
  <c r="D36" i="206"/>
  <c r="E36" i="206"/>
  <c r="D37" i="206"/>
  <c r="E37" i="206"/>
  <c r="D38" i="206"/>
  <c r="E38" i="206"/>
  <c r="D39" i="206"/>
  <c r="E39" i="206"/>
  <c r="D40" i="206"/>
  <c r="E40" i="206"/>
  <c r="E31" i="206"/>
  <c r="D31" i="206"/>
  <c r="E20" i="206"/>
  <c r="E19" i="206"/>
  <c r="E18" i="206"/>
  <c r="E17" i="206"/>
  <c r="E16" i="206"/>
  <c r="E15" i="206"/>
  <c r="E14" i="206"/>
  <c r="E13" i="206"/>
  <c r="E12" i="206"/>
  <c r="F12" i="206" s="1"/>
  <c r="F13" i="206" s="1"/>
  <c r="B13" i="206"/>
  <c r="B14" i="206"/>
  <c r="B15" i="206"/>
  <c r="B16" i="206"/>
  <c r="B17" i="206"/>
  <c r="B18" i="206"/>
  <c r="B19" i="206"/>
  <c r="B20" i="206"/>
  <c r="B21" i="206"/>
  <c r="C21" i="206" s="1"/>
  <c r="D21" i="206" s="1"/>
  <c r="B12" i="206"/>
  <c r="A12" i="206"/>
  <c r="A13" i="206" s="1"/>
  <c r="A14" i="206" s="1"/>
  <c r="A15" i="206" s="1"/>
  <c r="A16" i="206" s="1"/>
  <c r="A17" i="206" s="1"/>
  <c r="A18" i="206" s="1"/>
  <c r="A19" i="206" s="1"/>
  <c r="A20" i="206" s="1"/>
  <c r="A21" i="206" s="1"/>
  <c r="H76" i="205"/>
  <c r="H75" i="205"/>
  <c r="H74" i="205"/>
  <c r="H73" i="205"/>
  <c r="H72" i="205"/>
  <c r="H71" i="205"/>
  <c r="H70" i="205"/>
  <c r="H69" i="205"/>
  <c r="H68" i="205"/>
  <c r="I68" i="205" s="1"/>
  <c r="I69" i="205" s="1"/>
  <c r="I70" i="205" s="1"/>
  <c r="I71" i="205" s="1"/>
  <c r="I72" i="205" s="1"/>
  <c r="I73" i="205" s="1"/>
  <c r="I74" i="205" s="1"/>
  <c r="I75" i="205" s="1"/>
  <c r="I76" i="205" s="1"/>
  <c r="I77" i="205" s="1"/>
  <c r="H57" i="205"/>
  <c r="H56" i="205"/>
  <c r="H55" i="205"/>
  <c r="H54" i="205"/>
  <c r="H53" i="205"/>
  <c r="H52" i="205"/>
  <c r="H51" i="205"/>
  <c r="H50" i="205"/>
  <c r="H49" i="205"/>
  <c r="I49" i="205" s="1"/>
  <c r="I50" i="205" s="1"/>
  <c r="I51" i="205" s="1"/>
  <c r="I52" i="205" s="1"/>
  <c r="I53" i="205" s="1"/>
  <c r="I54" i="205" s="1"/>
  <c r="I55" i="205" s="1"/>
  <c r="I56" i="205" s="1"/>
  <c r="I57" i="205" s="1"/>
  <c r="I58" i="205" s="1"/>
  <c r="H38" i="205"/>
  <c r="H37" i="205"/>
  <c r="H36" i="205"/>
  <c r="H35" i="205"/>
  <c r="H34" i="205"/>
  <c r="H33" i="205"/>
  <c r="H32" i="205"/>
  <c r="H31" i="205"/>
  <c r="H30" i="205"/>
  <c r="I30" i="205" s="1"/>
  <c r="I31" i="205" s="1"/>
  <c r="I32" i="205" s="1"/>
  <c r="I33" i="205" s="1"/>
  <c r="I34" i="205" s="1"/>
  <c r="I35" i="205" s="1"/>
  <c r="I36" i="205" s="1"/>
  <c r="I37" i="205" s="1"/>
  <c r="I38" i="205" s="1"/>
  <c r="I39" i="205" s="1"/>
  <c r="I12" i="205"/>
  <c r="I13" i="205"/>
  <c r="I14" i="205" s="1"/>
  <c r="I15" i="205" s="1"/>
  <c r="I16" i="205" s="1"/>
  <c r="I17" i="205" s="1"/>
  <c r="I18" i="205" s="1"/>
  <c r="I19" i="205" s="1"/>
  <c r="I20" i="205" s="1"/>
  <c r="H19" i="205"/>
  <c r="H18" i="205"/>
  <c r="H17" i="205"/>
  <c r="H16" i="205"/>
  <c r="H15" i="205"/>
  <c r="H14" i="205"/>
  <c r="H13" i="205"/>
  <c r="H12" i="205"/>
  <c r="H11" i="205"/>
  <c r="I11" i="205"/>
  <c r="D68" i="205"/>
  <c r="D69" i="205" s="1"/>
  <c r="C75" i="205"/>
  <c r="B69" i="205"/>
  <c r="C69" i="205" s="1"/>
  <c r="B70" i="205"/>
  <c r="C70" i="205" s="1"/>
  <c r="B71" i="205"/>
  <c r="C71" i="205" s="1"/>
  <c r="B72" i="205"/>
  <c r="C72" i="205" s="1"/>
  <c r="B73" i="205"/>
  <c r="C73" i="205" s="1"/>
  <c r="B74" i="205"/>
  <c r="C74" i="205" s="1"/>
  <c r="B75" i="205"/>
  <c r="B76" i="205"/>
  <c r="C76" i="205" s="1"/>
  <c r="B77" i="205"/>
  <c r="C77" i="205" s="1"/>
  <c r="B68" i="205"/>
  <c r="C68" i="205" s="1"/>
  <c r="E68" i="205"/>
  <c r="A68" i="205"/>
  <c r="A69" i="205" s="1"/>
  <c r="A70" i="205" s="1"/>
  <c r="A71" i="205" s="1"/>
  <c r="A72" i="205" s="1"/>
  <c r="A73" i="205" s="1"/>
  <c r="A74" i="205" s="1"/>
  <c r="A75" i="205" s="1"/>
  <c r="A76" i="205" s="1"/>
  <c r="A77" i="205" s="1"/>
  <c r="C36" i="205"/>
  <c r="C37" i="205"/>
  <c r="C38" i="205"/>
  <c r="C39" i="205"/>
  <c r="B31" i="205"/>
  <c r="C31" i="205" s="1"/>
  <c r="B32" i="205"/>
  <c r="C32" i="205" s="1"/>
  <c r="B33" i="205"/>
  <c r="C33" i="205" s="1"/>
  <c r="B34" i="205"/>
  <c r="C34" i="205" s="1"/>
  <c r="B35" i="205"/>
  <c r="C35" i="205" s="1"/>
  <c r="B36" i="205"/>
  <c r="B37" i="205"/>
  <c r="B38" i="205"/>
  <c r="B39" i="205"/>
  <c r="B30" i="205"/>
  <c r="C30" i="205" s="1"/>
  <c r="D30" i="205"/>
  <c r="D31" i="205" s="1"/>
  <c r="D32" i="205" s="1"/>
  <c r="D33" i="205" s="1"/>
  <c r="D34" i="205" s="1"/>
  <c r="D35" i="205" s="1"/>
  <c r="D36" i="205" s="1"/>
  <c r="D37" i="205" s="1"/>
  <c r="D38" i="205" s="1"/>
  <c r="D39" i="205" s="1"/>
  <c r="D40" i="205" s="1"/>
  <c r="A30" i="205"/>
  <c r="A31" i="205" s="1"/>
  <c r="A32" i="205" s="1"/>
  <c r="A33" i="205" s="1"/>
  <c r="A34" i="205" s="1"/>
  <c r="A35" i="205" s="1"/>
  <c r="A36" i="205" s="1"/>
  <c r="A37" i="205" s="1"/>
  <c r="A38" i="205" s="1"/>
  <c r="A39" i="205" s="1"/>
  <c r="D11" i="205"/>
  <c r="D12" i="205" s="1"/>
  <c r="D13" i="205" s="1"/>
  <c r="D14" i="205" s="1"/>
  <c r="D15" i="205" s="1"/>
  <c r="D16" i="205" s="1"/>
  <c r="D17" i="205" s="1"/>
  <c r="D18" i="205" s="1"/>
  <c r="D19" i="205" s="1"/>
  <c r="D20" i="205" s="1"/>
  <c r="D21" i="205" s="1"/>
  <c r="D50" i="205"/>
  <c r="D51" i="205"/>
  <c r="D52" i="205"/>
  <c r="D53" i="205"/>
  <c r="D54" i="205"/>
  <c r="D55" i="205"/>
  <c r="D56" i="205"/>
  <c r="D57" i="205"/>
  <c r="D58" i="205"/>
  <c r="D49" i="205"/>
  <c r="Q63" i="203"/>
  <c r="Q62" i="203"/>
  <c r="Q29" i="203"/>
  <c r="Q28" i="203"/>
  <c r="Q12" i="203"/>
  <c r="B11" i="205"/>
  <c r="C11" i="205" s="1"/>
  <c r="Q46" i="203"/>
  <c r="Q45" i="203"/>
  <c r="B49" i="205" s="1"/>
  <c r="C49" i="205" s="1"/>
  <c r="E49" i="205"/>
  <c r="A49" i="205"/>
  <c r="A50" i="205" s="1"/>
  <c r="A51" i="205" s="1"/>
  <c r="A52" i="205" s="1"/>
  <c r="A53" i="205" s="1"/>
  <c r="A54" i="205" s="1"/>
  <c r="A55" i="205" s="1"/>
  <c r="A56" i="205" s="1"/>
  <c r="A57" i="205" s="1"/>
  <c r="A58" i="205" s="1"/>
  <c r="E11" i="205"/>
  <c r="A11" i="205"/>
  <c r="A12" i="205" s="1"/>
  <c r="A13" i="205" s="1"/>
  <c r="A14" i="205" s="1"/>
  <c r="A15" i="205" s="1"/>
  <c r="A16" i="205" s="1"/>
  <c r="A17" i="205" s="1"/>
  <c r="A18" i="205" s="1"/>
  <c r="A19" i="205" s="1"/>
  <c r="A20" i="205" s="1"/>
  <c r="C13" i="206" l="1"/>
  <c r="D13" i="206" s="1"/>
  <c r="C12" i="206"/>
  <c r="D12" i="206" s="1"/>
  <c r="C20" i="206"/>
  <c r="D20" i="206" s="1"/>
  <c r="F14" i="206"/>
  <c r="F15" i="206" s="1"/>
  <c r="F16" i="206" s="1"/>
  <c r="F17" i="206" s="1"/>
  <c r="F18" i="206" s="1"/>
  <c r="F19" i="206" s="1"/>
  <c r="F20" i="206" s="1"/>
  <c r="F21" i="206" s="1"/>
  <c r="C14" i="206"/>
  <c r="D14" i="206" s="1"/>
  <c r="C17" i="206"/>
  <c r="D17" i="206" s="1"/>
  <c r="C19" i="206"/>
  <c r="D19" i="206" s="1"/>
  <c r="C18" i="206"/>
  <c r="D18" i="206" s="1"/>
  <c r="C16" i="206"/>
  <c r="D16" i="206" s="1"/>
  <c r="C15" i="206"/>
  <c r="D15" i="206" s="1"/>
  <c r="E69" i="205"/>
  <c r="D70" i="205"/>
  <c r="D71" i="205" s="1"/>
  <c r="D72" i="205" s="1"/>
  <c r="D73" i="205" s="1"/>
  <c r="D74" i="205" s="1"/>
  <c r="D75" i="205" s="1"/>
  <c r="D76" i="205" s="1"/>
  <c r="D77" i="205" s="1"/>
  <c r="D78" i="205" s="1"/>
  <c r="E50" i="205"/>
  <c r="E51" i="205" s="1"/>
  <c r="E52" i="205" s="1"/>
  <c r="E53" i="205" s="1"/>
  <c r="E54" i="205" s="1"/>
  <c r="E55" i="205" s="1"/>
  <c r="E56" i="205" s="1"/>
  <c r="E57" i="205" s="1"/>
  <c r="E58" i="205" s="1"/>
  <c r="E59" i="205" s="1"/>
  <c r="E31" i="205"/>
  <c r="E32" i="205" s="1"/>
  <c r="E33" i="205" s="1"/>
  <c r="E34" i="205" s="1"/>
  <c r="E35" i="205" s="1"/>
  <c r="E36" i="205" s="1"/>
  <c r="E37" i="205" s="1"/>
  <c r="E38" i="205" s="1"/>
  <c r="E39" i="205" s="1"/>
  <c r="E40" i="205" s="1"/>
  <c r="E12" i="205"/>
  <c r="E13" i="205" s="1"/>
  <c r="E14" i="205" s="1"/>
  <c r="E15" i="205" s="1"/>
  <c r="E16" i="205" s="1"/>
  <c r="E17" i="205" s="1"/>
  <c r="E18" i="205" s="1"/>
  <c r="E19" i="205" s="1"/>
  <c r="E20" i="205" s="1"/>
  <c r="E21" i="205" s="1"/>
  <c r="J29" i="203"/>
  <c r="J30" i="203"/>
  <c r="J31" i="203"/>
  <c r="J32" i="203"/>
  <c r="J33" i="203"/>
  <c r="J34" i="203"/>
  <c r="J35" i="203"/>
  <c r="J36" i="203"/>
  <c r="J37" i="203"/>
  <c r="J28" i="203"/>
  <c r="I37" i="203"/>
  <c r="R36" i="203"/>
  <c r="I36" i="203"/>
  <c r="H36" i="203"/>
  <c r="R35" i="203"/>
  <c r="I35" i="203"/>
  <c r="H35" i="203"/>
  <c r="R34" i="203"/>
  <c r="I34" i="203"/>
  <c r="H34" i="203"/>
  <c r="R33" i="203"/>
  <c r="I33" i="203"/>
  <c r="H33" i="203"/>
  <c r="R32" i="203"/>
  <c r="I32" i="203"/>
  <c r="H32" i="203"/>
  <c r="R31" i="203"/>
  <c r="I31" i="203"/>
  <c r="H31" i="203"/>
  <c r="R30" i="203"/>
  <c r="I30" i="203"/>
  <c r="H30" i="203"/>
  <c r="R29" i="203"/>
  <c r="I29" i="203"/>
  <c r="H29" i="203"/>
  <c r="R28" i="203"/>
  <c r="S28" i="203" s="1"/>
  <c r="P28" i="203"/>
  <c r="I28" i="203"/>
  <c r="H28" i="203"/>
  <c r="A28" i="203"/>
  <c r="A29" i="203" s="1"/>
  <c r="A30" i="203" s="1"/>
  <c r="A31" i="203" s="1"/>
  <c r="A32" i="203" s="1"/>
  <c r="A33" i="203" s="1"/>
  <c r="A34" i="203" s="1"/>
  <c r="A35" i="203" s="1"/>
  <c r="A36" i="203" s="1"/>
  <c r="A37" i="203" s="1"/>
  <c r="I63" i="203"/>
  <c r="I64" i="203"/>
  <c r="I65" i="203"/>
  <c r="I66" i="203"/>
  <c r="I67" i="203"/>
  <c r="I68" i="203"/>
  <c r="I69" i="203"/>
  <c r="I70" i="203"/>
  <c r="I71" i="203"/>
  <c r="I62" i="203"/>
  <c r="H12" i="206" l="1"/>
  <c r="I12" i="206" s="1"/>
  <c r="E70" i="205"/>
  <c r="E71" i="205" s="1"/>
  <c r="E72" i="205" s="1"/>
  <c r="E73" i="205" s="1"/>
  <c r="E74" i="205" s="1"/>
  <c r="E75" i="205" s="1"/>
  <c r="E76" i="205" s="1"/>
  <c r="E77" i="205" s="1"/>
  <c r="E78" i="205" s="1"/>
  <c r="F68" i="205" s="1"/>
  <c r="G68" i="205" s="1"/>
  <c r="J68" i="205" s="1"/>
  <c r="G30" i="205"/>
  <c r="J30" i="205" s="1"/>
  <c r="F31" i="205"/>
  <c r="F32" i="205" s="1"/>
  <c r="S29" i="203"/>
  <c r="K28" i="203"/>
  <c r="L28" i="203" s="1"/>
  <c r="M28" i="203" s="1"/>
  <c r="N28" i="203" s="1"/>
  <c r="O28" i="203" s="1"/>
  <c r="F33" i="205" l="1"/>
  <c r="F34" i="205" s="1"/>
  <c r="F35" i="205" s="1"/>
  <c r="F36" i="205" s="1"/>
  <c r="F37" i="205" s="1"/>
  <c r="F38" i="205" s="1"/>
  <c r="F39" i="205" s="1"/>
  <c r="G14" i="206"/>
  <c r="I14" i="206" s="1"/>
  <c r="C31" i="206"/>
  <c r="F69" i="205"/>
  <c r="F70" i="205" s="1"/>
  <c r="F71" i="205" s="1"/>
  <c r="F72" i="205" s="1"/>
  <c r="F73" i="205" s="1"/>
  <c r="F74" i="205" s="1"/>
  <c r="F75" i="205" s="1"/>
  <c r="F76" i="205" s="1"/>
  <c r="F77" i="205" s="1"/>
  <c r="G69" i="205"/>
  <c r="J69" i="205" s="1"/>
  <c r="G31" i="205"/>
  <c r="J31" i="205" s="1"/>
  <c r="P29" i="203"/>
  <c r="T28" i="203"/>
  <c r="K29" i="203"/>
  <c r="L29" i="203" s="1"/>
  <c r="S30" i="203"/>
  <c r="C32" i="206" l="1"/>
  <c r="G15" i="206"/>
  <c r="G70" i="205"/>
  <c r="J70" i="205" s="1"/>
  <c r="C33" i="206" s="1"/>
  <c r="G32" i="205"/>
  <c r="J32" i="205" s="1"/>
  <c r="M29" i="203"/>
  <c r="N29" i="203" s="1"/>
  <c r="O29" i="203" s="1"/>
  <c r="S31" i="203"/>
  <c r="K30" i="203"/>
  <c r="L30" i="203" s="1"/>
  <c r="I15" i="206" l="1"/>
  <c r="G71" i="205"/>
  <c r="J71" i="205" s="1"/>
  <c r="G72" i="205"/>
  <c r="J72" i="205" s="1"/>
  <c r="G33" i="205"/>
  <c r="J33" i="205" s="1"/>
  <c r="P30" i="203"/>
  <c r="K31" i="203"/>
  <c r="L31" i="203" s="1"/>
  <c r="S32" i="203"/>
  <c r="C34" i="206" l="1"/>
  <c r="G16" i="206"/>
  <c r="H16" i="206" s="1"/>
  <c r="I16" i="206" s="1"/>
  <c r="G17" i="206" s="1"/>
  <c r="H17" i="206" s="1"/>
  <c r="I17" i="206" s="1"/>
  <c r="G73" i="205"/>
  <c r="J73" i="205" s="1"/>
  <c r="G34" i="205"/>
  <c r="J34" i="205" s="1"/>
  <c r="T29" i="203"/>
  <c r="M30" i="203"/>
  <c r="N30" i="203" s="1"/>
  <c r="O30" i="203" s="1"/>
  <c r="S33" i="203"/>
  <c r="K32" i="203"/>
  <c r="L32" i="203" s="1"/>
  <c r="G18" i="206" l="1"/>
  <c r="H18" i="206" s="1"/>
  <c r="I18" i="206"/>
  <c r="C36" i="206"/>
  <c r="C35" i="206"/>
  <c r="G74" i="205"/>
  <c r="J74" i="205" s="1"/>
  <c r="C37" i="206" s="1"/>
  <c r="G35" i="205"/>
  <c r="J35" i="205" s="1"/>
  <c r="Q30" i="203"/>
  <c r="P31" i="203"/>
  <c r="T30" i="203"/>
  <c r="K33" i="203"/>
  <c r="L33" i="203" s="1"/>
  <c r="S34" i="203"/>
  <c r="G19" i="206" l="1"/>
  <c r="H19" i="206" s="1"/>
  <c r="I19" i="206" s="1"/>
  <c r="G20" i="206" s="1"/>
  <c r="H20" i="206"/>
  <c r="I20" i="206" s="1"/>
  <c r="G21" i="206" s="1"/>
  <c r="H21" i="206" s="1"/>
  <c r="G75" i="205"/>
  <c r="J75" i="205" s="1"/>
  <c r="C38" i="206" s="1"/>
  <c r="G36" i="205"/>
  <c r="J36" i="205" s="1"/>
  <c r="S35" i="203"/>
  <c r="K34" i="203"/>
  <c r="L34" i="203" s="1"/>
  <c r="M31" i="203"/>
  <c r="N31" i="203" s="1"/>
  <c r="O31" i="203" s="1"/>
  <c r="I21" i="206" l="1"/>
  <c r="G76" i="205"/>
  <c r="J76" i="205" s="1"/>
  <c r="C39" i="206" s="1"/>
  <c r="G37" i="205"/>
  <c r="J37" i="205" s="1"/>
  <c r="Q31" i="203"/>
  <c r="P32" i="203"/>
  <c r="K35" i="203"/>
  <c r="L35" i="203" s="1"/>
  <c r="S36" i="203"/>
  <c r="G77" i="205" l="1"/>
  <c r="J77" i="205" s="1"/>
  <c r="C40" i="206" s="1"/>
  <c r="G38" i="205"/>
  <c r="J38" i="205" s="1"/>
  <c r="T31" i="203"/>
  <c r="S37" i="203"/>
  <c r="K37" i="203"/>
  <c r="L37" i="203" s="1"/>
  <c r="K36" i="203"/>
  <c r="L36" i="203" s="1"/>
  <c r="M32" i="203"/>
  <c r="N32" i="203" s="1"/>
  <c r="G39" i="205" l="1"/>
  <c r="J39" i="205" s="1"/>
  <c r="O32" i="203"/>
  <c r="Q32" i="203" s="1"/>
  <c r="P33" i="203" l="1"/>
  <c r="T32" i="203"/>
  <c r="M33" i="203" l="1"/>
  <c r="N33" i="203" s="1"/>
  <c r="O33" i="203" l="1"/>
  <c r="Q33" i="203" s="1"/>
  <c r="P34" i="203" l="1"/>
  <c r="T33" i="203"/>
  <c r="M34" i="203" l="1"/>
  <c r="N34" i="203" s="1"/>
  <c r="Q34" i="203" l="1"/>
  <c r="O34" i="203"/>
  <c r="P35" i="203" l="1"/>
  <c r="T34" i="203"/>
  <c r="M35" i="203" l="1"/>
  <c r="N35" i="203" s="1"/>
  <c r="O35" i="203" l="1"/>
  <c r="Q35" i="203" s="1"/>
  <c r="P36" i="203" l="1"/>
  <c r="T35" i="203"/>
  <c r="M36" i="203" l="1"/>
  <c r="N36" i="203" s="1"/>
  <c r="O36" i="203" s="1"/>
  <c r="Q36" i="203" l="1"/>
  <c r="P37" i="203" l="1"/>
  <c r="T36" i="203"/>
  <c r="M37" i="203" l="1"/>
  <c r="N37" i="203" s="1"/>
  <c r="O37" i="203" s="1"/>
  <c r="Q37" i="203" l="1"/>
  <c r="T37" i="203" s="1"/>
  <c r="R70" i="203" l="1"/>
  <c r="H70" i="203"/>
  <c r="R69" i="203"/>
  <c r="H69" i="203"/>
  <c r="R68" i="203"/>
  <c r="H68" i="203"/>
  <c r="R67" i="203"/>
  <c r="H67" i="203"/>
  <c r="R66" i="203"/>
  <c r="H66" i="203"/>
  <c r="R65" i="203"/>
  <c r="H65" i="203"/>
  <c r="R64" i="203"/>
  <c r="H64" i="203"/>
  <c r="R63" i="203"/>
  <c r="H63" i="203"/>
  <c r="R62" i="203"/>
  <c r="S62" i="203" s="1"/>
  <c r="S63" i="203" s="1"/>
  <c r="S64" i="203" s="1"/>
  <c r="P62" i="203"/>
  <c r="H62" i="203"/>
  <c r="J62" i="203"/>
  <c r="J63" i="203" s="1"/>
  <c r="J64" i="203" s="1"/>
  <c r="J65" i="203" s="1"/>
  <c r="J66" i="203" s="1"/>
  <c r="J67" i="203" s="1"/>
  <c r="J68" i="203" s="1"/>
  <c r="J69" i="203" s="1"/>
  <c r="J70" i="203" s="1"/>
  <c r="J71" i="203" s="1"/>
  <c r="A62" i="203"/>
  <c r="A63" i="203" s="1"/>
  <c r="A64" i="203" s="1"/>
  <c r="A65" i="203" s="1"/>
  <c r="A66" i="203" s="1"/>
  <c r="A67" i="203" s="1"/>
  <c r="A68" i="203" s="1"/>
  <c r="A69" i="203" s="1"/>
  <c r="A70" i="203" s="1"/>
  <c r="A71" i="203" s="1"/>
  <c r="R53" i="203"/>
  <c r="H53" i="203"/>
  <c r="R52" i="203"/>
  <c r="H52" i="203"/>
  <c r="R51" i="203"/>
  <c r="H51" i="203"/>
  <c r="R50" i="203"/>
  <c r="H50" i="203"/>
  <c r="R49" i="203"/>
  <c r="H49" i="203"/>
  <c r="R48" i="203"/>
  <c r="H48" i="203"/>
  <c r="R47" i="203"/>
  <c r="H47" i="203"/>
  <c r="R46" i="203"/>
  <c r="H46" i="203"/>
  <c r="R45" i="203"/>
  <c r="S45" i="203" s="1"/>
  <c r="P45" i="203"/>
  <c r="H45" i="203"/>
  <c r="A45" i="203"/>
  <c r="A46" i="203" s="1"/>
  <c r="A47" i="203" s="1"/>
  <c r="A48" i="203" s="1"/>
  <c r="A49" i="203" s="1"/>
  <c r="A50" i="203" s="1"/>
  <c r="A51" i="203" s="1"/>
  <c r="A52" i="203" s="1"/>
  <c r="A53" i="203" s="1"/>
  <c r="A54" i="203" s="1"/>
  <c r="S46" i="203" l="1"/>
  <c r="S65" i="203"/>
  <c r="S66" i="203" s="1"/>
  <c r="S67" i="203" s="1"/>
  <c r="S68" i="203" s="1"/>
  <c r="S69" i="203" s="1"/>
  <c r="S70" i="203" s="1"/>
  <c r="S71" i="203" s="1"/>
  <c r="S47" i="203"/>
  <c r="S48" i="203" s="1"/>
  <c r="S49" i="203" s="1"/>
  <c r="S50" i="203" s="1"/>
  <c r="S51" i="203" s="1"/>
  <c r="S52" i="203" s="1"/>
  <c r="S53" i="203" s="1"/>
  <c r="S54" i="203" s="1"/>
  <c r="K63" i="203"/>
  <c r="K62" i="203"/>
  <c r="L62" i="203"/>
  <c r="L63" i="203"/>
  <c r="R19" i="203"/>
  <c r="H19" i="203"/>
  <c r="R18" i="203"/>
  <c r="H18" i="203"/>
  <c r="R17" i="203"/>
  <c r="H17" i="203"/>
  <c r="R16" i="203"/>
  <c r="H16" i="203"/>
  <c r="R15" i="203"/>
  <c r="H15" i="203"/>
  <c r="R14" i="203"/>
  <c r="H14" i="203"/>
  <c r="R13" i="203"/>
  <c r="H13" i="203"/>
  <c r="R12" i="203"/>
  <c r="H12" i="203"/>
  <c r="R11" i="203"/>
  <c r="S11" i="203" s="1"/>
  <c r="P11" i="203"/>
  <c r="H11" i="203"/>
  <c r="A11" i="203"/>
  <c r="A12" i="203" s="1"/>
  <c r="A13" i="203" s="1"/>
  <c r="A14" i="203" s="1"/>
  <c r="A15" i="203" s="1"/>
  <c r="A16" i="203" s="1"/>
  <c r="A17" i="203" s="1"/>
  <c r="A18" i="203" s="1"/>
  <c r="A19" i="203" s="1"/>
  <c r="A20" i="203" s="1"/>
  <c r="F2" i="203"/>
  <c r="S12" i="203" l="1"/>
  <c r="S13" i="203" s="1"/>
  <c r="S14" i="203" s="1"/>
  <c r="S15" i="203" s="1"/>
  <c r="S16" i="203" s="1"/>
  <c r="S17" i="203" s="1"/>
  <c r="S18" i="203" s="1"/>
  <c r="S19" i="203" s="1"/>
  <c r="S20" i="203" s="1"/>
  <c r="B54" i="203"/>
  <c r="I54" i="203" s="1"/>
  <c r="B47" i="203"/>
  <c r="I47" i="203" s="1"/>
  <c r="B50" i="203"/>
  <c r="I50" i="203" s="1"/>
  <c r="B53" i="203"/>
  <c r="I53" i="203" s="1"/>
  <c r="M62" i="203"/>
  <c r="N62" i="203" s="1"/>
  <c r="B51" i="203"/>
  <c r="I51" i="203" s="1"/>
  <c r="B49" i="203"/>
  <c r="I49" i="203" s="1"/>
  <c r="B46" i="203"/>
  <c r="I46" i="203" s="1"/>
  <c r="B52" i="203"/>
  <c r="I52" i="203" s="1"/>
  <c r="B48" i="203"/>
  <c r="I48" i="203" s="1"/>
  <c r="B45" i="203"/>
  <c r="K65" i="203"/>
  <c r="L65" i="203" s="1"/>
  <c r="K64" i="203"/>
  <c r="L64" i="203" s="1"/>
  <c r="K66" i="203"/>
  <c r="B14" i="203"/>
  <c r="B11" i="203"/>
  <c r="B20" i="203"/>
  <c r="B19" i="203"/>
  <c r="B18" i="203"/>
  <c r="B17" i="203"/>
  <c r="B16" i="203"/>
  <c r="B13" i="203"/>
  <c r="B12" i="203"/>
  <c r="B15" i="203"/>
  <c r="O62" i="203" l="1"/>
  <c r="T62" i="203" s="1"/>
  <c r="J45" i="203"/>
  <c r="J46" i="203" s="1"/>
  <c r="J47" i="203" s="1"/>
  <c r="J48" i="203" s="1"/>
  <c r="J49" i="203" s="1"/>
  <c r="J50" i="203" s="1"/>
  <c r="J51" i="203" s="1"/>
  <c r="J52" i="203" s="1"/>
  <c r="J53" i="203" s="1"/>
  <c r="J54" i="203" s="1"/>
  <c r="I45" i="203"/>
  <c r="K67" i="203"/>
  <c r="L66" i="203"/>
  <c r="I19" i="203"/>
  <c r="I14" i="203"/>
  <c r="I12" i="203"/>
  <c r="I18" i="203"/>
  <c r="I13" i="203"/>
  <c r="J12" i="203"/>
  <c r="K12" i="203" s="1"/>
  <c r="L12" i="203" s="1"/>
  <c r="J13" i="203"/>
  <c r="K13" i="203" s="1"/>
  <c r="L13" i="203" s="1"/>
  <c r="J11" i="203"/>
  <c r="J14" i="203"/>
  <c r="K14" i="203" s="1"/>
  <c r="L14" i="203" s="1"/>
  <c r="J18" i="203"/>
  <c r="K18" i="203" s="1"/>
  <c r="L18" i="203" s="1"/>
  <c r="J19" i="203"/>
  <c r="K19" i="203" s="1"/>
  <c r="L19" i="203" s="1"/>
  <c r="J15" i="203"/>
  <c r="K15" i="203" s="1"/>
  <c r="L15" i="203" s="1"/>
  <c r="J17" i="203"/>
  <c r="K17" i="203" s="1"/>
  <c r="L17" i="203" s="1"/>
  <c r="J20" i="203"/>
  <c r="K20" i="203" s="1"/>
  <c r="L20" i="203" s="1"/>
  <c r="J16" i="203"/>
  <c r="K16" i="203" s="1"/>
  <c r="L16" i="203" s="1"/>
  <c r="I16" i="203"/>
  <c r="I17" i="203"/>
  <c r="I20" i="203"/>
  <c r="I15" i="203"/>
  <c r="K11" i="203" l="1"/>
  <c r="N11" i="203" s="1"/>
  <c r="K45" i="203"/>
  <c r="M45" i="203" s="1"/>
  <c r="N45" i="203" s="1"/>
  <c r="K68" i="203"/>
  <c r="L67" i="203"/>
  <c r="P63" i="203"/>
  <c r="T11" i="203" l="1"/>
  <c r="K46" i="203"/>
  <c r="L46" i="203" s="1"/>
  <c r="O45" i="203"/>
  <c r="M63" i="203"/>
  <c r="N63" i="203" s="1"/>
  <c r="L68" i="203"/>
  <c r="K69" i="203"/>
  <c r="P12" i="203"/>
  <c r="T45" i="203" l="1"/>
  <c r="K47" i="203"/>
  <c r="L47" i="203" s="1"/>
  <c r="K70" i="203"/>
  <c r="L69" i="203"/>
  <c r="O63" i="203"/>
  <c r="N12" i="203"/>
  <c r="O12" i="203" s="1"/>
  <c r="P46" i="203" l="1"/>
  <c r="M46" i="203"/>
  <c r="N46" i="203" s="1"/>
  <c r="O46" i="203" s="1"/>
  <c r="B12" i="205"/>
  <c r="C12" i="205" s="1"/>
  <c r="T63" i="203"/>
  <c r="K48" i="203"/>
  <c r="L48" i="203" s="1"/>
  <c r="L70" i="203"/>
  <c r="T12" i="203"/>
  <c r="P64" i="203" l="1"/>
  <c r="K49" i="203"/>
  <c r="L49" i="203" s="1"/>
  <c r="K71" i="203"/>
  <c r="L71" i="203" s="1"/>
  <c r="M64" i="203"/>
  <c r="N64" i="203" s="1"/>
  <c r="P13" i="203"/>
  <c r="P47" i="203" l="1"/>
  <c r="B50" i="205"/>
  <c r="C50" i="205" s="1"/>
  <c r="T46" i="203"/>
  <c r="K50" i="203"/>
  <c r="L50" i="203" s="1"/>
  <c r="O64" i="203"/>
  <c r="Q64" i="203" s="1"/>
  <c r="M13" i="203"/>
  <c r="N13" i="203" s="1"/>
  <c r="O13" i="203" s="1"/>
  <c r="Q13" i="203" l="1"/>
  <c r="M47" i="203"/>
  <c r="N47" i="203" s="1"/>
  <c r="O47" i="203" s="1"/>
  <c r="Q47" i="203"/>
  <c r="P65" i="203"/>
  <c r="K51" i="203"/>
  <c r="L51" i="203" s="1"/>
  <c r="T13" i="203" l="1"/>
  <c r="B13" i="205"/>
  <c r="C13" i="205" s="1"/>
  <c r="T47" i="203"/>
  <c r="B51" i="205"/>
  <c r="C51" i="205" s="1"/>
  <c r="T64" i="203"/>
  <c r="P48" i="203"/>
  <c r="K52" i="203"/>
  <c r="L52" i="203" s="1"/>
  <c r="M65" i="203"/>
  <c r="N65" i="203" s="1"/>
  <c r="P14" i="203"/>
  <c r="M48" i="203" l="1"/>
  <c r="N48" i="203" s="1"/>
  <c r="O48" i="203" s="1"/>
  <c r="K54" i="203"/>
  <c r="L54" i="203" s="1"/>
  <c r="K53" i="203"/>
  <c r="L53" i="203" s="1"/>
  <c r="O65" i="203"/>
  <c r="Q65" i="203" s="1"/>
  <c r="M14" i="203"/>
  <c r="N14" i="203" s="1"/>
  <c r="O14" i="203" s="1"/>
  <c r="Q14" i="203" l="1"/>
  <c r="Q48" i="203"/>
  <c r="B52" i="205" s="1"/>
  <c r="C52" i="205" s="1"/>
  <c r="P66" i="203"/>
  <c r="T14" i="203" l="1"/>
  <c r="B14" i="205"/>
  <c r="C14" i="205" s="1"/>
  <c r="P49" i="203"/>
  <c r="T48" i="203"/>
  <c r="P15" i="203"/>
  <c r="M66" i="203"/>
  <c r="N66" i="203" s="1"/>
  <c r="O66" i="203" s="1"/>
  <c r="T65" i="203"/>
  <c r="M15" i="203"/>
  <c r="N15" i="203" s="1"/>
  <c r="Q66" i="203" l="1"/>
  <c r="T66" i="203" s="1"/>
  <c r="M49" i="203"/>
  <c r="N49" i="203" s="1"/>
  <c r="O49" i="203" s="1"/>
  <c r="O15" i="203"/>
  <c r="Q15" i="203" s="1"/>
  <c r="Q49" i="203" l="1"/>
  <c r="T49" i="203" s="1"/>
  <c r="B53" i="205"/>
  <c r="C53" i="205" s="1"/>
  <c r="P67" i="203"/>
  <c r="M67" i="203"/>
  <c r="N67" i="203" s="1"/>
  <c r="P50" i="203"/>
  <c r="T15" i="203" l="1"/>
  <c r="B15" i="205"/>
  <c r="C15" i="205" s="1"/>
  <c r="P16" i="203"/>
  <c r="O67" i="203"/>
  <c r="Q67" i="203" s="1"/>
  <c r="M50" i="203"/>
  <c r="N50" i="203" s="1"/>
  <c r="M16" i="203"/>
  <c r="N16" i="203" s="1"/>
  <c r="O16" i="203" s="1"/>
  <c r="Q16" i="203" l="1"/>
  <c r="B16" i="205" s="1"/>
  <c r="C16" i="205" s="1"/>
  <c r="P68" i="203"/>
  <c r="O50" i="203"/>
  <c r="Q50" i="203" s="1"/>
  <c r="T16" i="203" l="1"/>
  <c r="T67" i="203"/>
  <c r="M68" i="203"/>
  <c r="N68" i="203" s="1"/>
  <c r="P17" i="203"/>
  <c r="T50" i="203" l="1"/>
  <c r="B54" i="205"/>
  <c r="C54" i="205" s="1"/>
  <c r="P51" i="203"/>
  <c r="O68" i="203"/>
  <c r="Q68" i="203" s="1"/>
  <c r="M51" i="203"/>
  <c r="N51" i="203" s="1"/>
  <c r="M17" i="203"/>
  <c r="N17" i="203" s="1"/>
  <c r="O17" i="203" s="1"/>
  <c r="Q17" i="203" l="1"/>
  <c r="T68" i="203"/>
  <c r="P69" i="203"/>
  <c r="O51" i="203"/>
  <c r="Q51" i="203" s="1"/>
  <c r="T17" i="203" l="1"/>
  <c r="B17" i="205"/>
  <c r="C17" i="205" s="1"/>
  <c r="P52" i="203"/>
  <c r="P18" i="203"/>
  <c r="M69" i="203"/>
  <c r="N69" i="203" s="1"/>
  <c r="M18" i="203"/>
  <c r="N18" i="203" s="1"/>
  <c r="O18" i="203" s="1"/>
  <c r="Q18" i="203" l="1"/>
  <c r="T51" i="203"/>
  <c r="B55" i="205"/>
  <c r="C55" i="205" s="1"/>
  <c r="O69" i="203"/>
  <c r="Q69" i="203" s="1"/>
  <c r="M52" i="203"/>
  <c r="N52" i="203" s="1"/>
  <c r="T18" i="203" l="1"/>
  <c r="B18" i="205"/>
  <c r="C18" i="205" s="1"/>
  <c r="T69" i="203"/>
  <c r="P19" i="203"/>
  <c r="M19" i="203" s="1"/>
  <c r="N19" i="203" s="1"/>
  <c r="O19" i="203" s="1"/>
  <c r="O52" i="203"/>
  <c r="Q52" i="203" s="1"/>
  <c r="Q19" i="203" l="1"/>
  <c r="P70" i="203"/>
  <c r="M70" i="203"/>
  <c r="N70" i="203" s="1"/>
  <c r="T19" i="203" l="1"/>
  <c r="B19" i="205"/>
  <c r="C19" i="205" s="1"/>
  <c r="T52" i="203"/>
  <c r="B56" i="205"/>
  <c r="C56" i="205" s="1"/>
  <c r="P53" i="203"/>
  <c r="O70" i="203"/>
  <c r="Q70" i="203" s="1"/>
  <c r="P20" i="203"/>
  <c r="M53" i="203" l="1"/>
  <c r="N53" i="203" s="1"/>
  <c r="Q53" i="203" s="1"/>
  <c r="P71" i="203"/>
  <c r="O53" i="203"/>
  <c r="M20" i="203"/>
  <c r="N20" i="203" s="1"/>
  <c r="O20" i="203" s="1"/>
  <c r="Q20" i="203" l="1"/>
  <c r="T70" i="203"/>
  <c r="M71" i="203"/>
  <c r="N71" i="203" s="1"/>
  <c r="T20" i="203" l="1"/>
  <c r="B20" i="205"/>
  <c r="T53" i="203"/>
  <c r="B57" i="205"/>
  <c r="C57" i="205" s="1"/>
  <c r="P54" i="203"/>
  <c r="O71" i="203"/>
  <c r="Q71" i="203" s="1"/>
  <c r="M54" i="203"/>
  <c r="N54" i="203" s="1"/>
  <c r="C20" i="205" l="1"/>
  <c r="T71" i="203"/>
  <c r="O54" i="203"/>
  <c r="Q54" i="203" s="1"/>
  <c r="F12" i="205" l="1"/>
  <c r="F13" i="205" s="1"/>
  <c r="F14" i="205" s="1"/>
  <c r="F15" i="205" s="1"/>
  <c r="F16" i="205" s="1"/>
  <c r="F17" i="205" s="1"/>
  <c r="F18" i="205" s="1"/>
  <c r="F19" i="205" s="1"/>
  <c r="F20" i="205" s="1"/>
  <c r="B31" i="206"/>
  <c r="T54" i="203"/>
  <c r="B58" i="205"/>
  <c r="G12" i="205" l="1"/>
  <c r="J12" i="205" s="1"/>
  <c r="B32" i="206" s="1"/>
  <c r="C58" i="205"/>
  <c r="F49" i="205" s="1"/>
  <c r="G49" i="205" s="1"/>
  <c r="J49" i="205" s="1"/>
  <c r="G13" i="205" l="1"/>
  <c r="J13" i="205" s="1"/>
  <c r="B33" i="206" s="1"/>
  <c r="F50" i="205"/>
  <c r="F51" i="205" s="1"/>
  <c r="F52" i="205" s="1"/>
  <c r="F53" i="205" s="1"/>
  <c r="F54" i="205" s="1"/>
  <c r="F55" i="205" s="1"/>
  <c r="F56" i="205" s="1"/>
  <c r="F57" i="205" s="1"/>
  <c r="F58" i="205" s="1"/>
  <c r="G14" i="205"/>
  <c r="J14" i="205" s="1"/>
  <c r="B34" i="206" s="1"/>
  <c r="G50" i="205"/>
  <c r="J50" i="205" s="1"/>
  <c r="G15" i="205" l="1"/>
  <c r="G51" i="205"/>
  <c r="J51" i="205" s="1"/>
  <c r="J15" i="205" l="1"/>
  <c r="B35" i="206" s="1"/>
  <c r="G16" i="205"/>
  <c r="J16" i="205" s="1"/>
  <c r="B36" i="206" s="1"/>
  <c r="G52" i="205"/>
  <c r="J52" i="205" s="1"/>
  <c r="G17" i="205" l="1"/>
  <c r="J17" i="205" s="1"/>
  <c r="B37" i="206" s="1"/>
  <c r="G53" i="205"/>
  <c r="J53" i="205" s="1"/>
  <c r="G18" i="205" l="1"/>
  <c r="J18" i="205" s="1"/>
  <c r="B38" i="206" s="1"/>
  <c r="G54" i="205"/>
  <c r="J54" i="205" s="1"/>
  <c r="G19" i="205" l="1"/>
  <c r="J19" i="205" s="1"/>
  <c r="B39" i="206" s="1"/>
  <c r="G55" i="205"/>
  <c r="J55" i="205" s="1"/>
  <c r="G20" i="205" l="1"/>
  <c r="J20" i="205" s="1"/>
  <c r="B40" i="206" s="1"/>
  <c r="G56" i="205"/>
  <c r="J56" i="205" s="1"/>
  <c r="G57" i="205" l="1"/>
  <c r="J57" i="205" s="1"/>
  <c r="G58" i="205" l="1"/>
  <c r="J58" i="205" s="1"/>
</calcChain>
</file>

<file path=xl/sharedStrings.xml><?xml version="1.0" encoding="utf-8"?>
<sst xmlns="http://schemas.openxmlformats.org/spreadsheetml/2006/main" count="598" uniqueCount="227">
  <si>
    <t>Face Amount:</t>
  </si>
  <si>
    <t>Units</t>
  </si>
  <si>
    <t>Option C Death Benefit</t>
  </si>
  <si>
    <t>Annual</t>
  </si>
  <si>
    <t>Persistency</t>
  </si>
  <si>
    <t>End of Year</t>
  </si>
  <si>
    <t>Discounted</t>
  </si>
  <si>
    <t>Net</t>
  </si>
  <si>
    <t>Prior</t>
  </si>
  <si>
    <t>End of</t>
  </si>
  <si>
    <t>Policy</t>
  </si>
  <si>
    <t>COI</t>
  </si>
  <si>
    <t>Credited</t>
  </si>
  <si>
    <t>Interest</t>
  </si>
  <si>
    <t>Bonus as</t>
  </si>
  <si>
    <t>Expense</t>
  </si>
  <si>
    <t>Account</t>
  </si>
  <si>
    <t>Accumulated</t>
  </si>
  <si>
    <t>Death</t>
  </si>
  <si>
    <t>Amount</t>
  </si>
  <si>
    <t>Year</t>
  </si>
  <si>
    <t>Termination</t>
  </si>
  <si>
    <t>Premiums</t>
  </si>
  <si>
    <t>Rate</t>
  </si>
  <si>
    <t>% of AV</t>
  </si>
  <si>
    <t>Loads</t>
  </si>
  <si>
    <t>Charge</t>
  </si>
  <si>
    <t>Benefit</t>
  </si>
  <si>
    <t>Load</t>
  </si>
  <si>
    <t>at Risk</t>
  </si>
  <si>
    <t>AV</t>
  </si>
  <si>
    <t>Rates</t>
  </si>
  <si>
    <t>Per Policy</t>
  </si>
  <si>
    <t>% Prem</t>
  </si>
  <si>
    <t>Gtd</t>
  </si>
  <si>
    <t>Pers</t>
  </si>
  <si>
    <t>(before decrement)</t>
  </si>
  <si>
    <t>b(i)</t>
  </si>
  <si>
    <t>(after decrement)</t>
  </si>
  <si>
    <t>Value</t>
  </si>
  <si>
    <r>
      <t xml:space="preserve">Solution: Values in dollars - Cumulative Premiums </t>
    </r>
    <r>
      <rPr>
        <b/>
        <sz val="13"/>
        <color rgb="FFFF0000"/>
        <rFont val="Arial"/>
        <family val="2"/>
      </rPr>
      <t>without</t>
    </r>
    <r>
      <rPr>
        <b/>
        <sz val="13"/>
        <rFont val="Arial"/>
        <family val="2"/>
      </rPr>
      <t xml:space="preserve"> interest</t>
    </r>
  </si>
  <si>
    <r>
      <t xml:space="preserve">Solution: Values in dollars - Cumulative Premiums </t>
    </r>
    <r>
      <rPr>
        <b/>
        <sz val="13"/>
        <color rgb="FFFF0000"/>
        <rFont val="Arial"/>
        <family val="2"/>
      </rPr>
      <t>with</t>
    </r>
    <r>
      <rPr>
        <b/>
        <sz val="13"/>
        <rFont val="Arial"/>
        <family val="2"/>
      </rPr>
      <t xml:space="preserve"> interest</t>
    </r>
  </si>
  <si>
    <r>
      <t xml:space="preserve">Solution: Per Unit Values - Cumulative Premiums </t>
    </r>
    <r>
      <rPr>
        <b/>
        <sz val="13"/>
        <color rgb="FFFF0000"/>
        <rFont val="Arial"/>
        <family val="2"/>
      </rPr>
      <t>with</t>
    </r>
    <r>
      <rPr>
        <b/>
        <sz val="13"/>
        <rFont val="Arial"/>
        <family val="2"/>
      </rPr>
      <t xml:space="preserve"> interest</t>
    </r>
  </si>
  <si>
    <t>Cumulative</t>
  </si>
  <si>
    <t>Inforce</t>
  </si>
  <si>
    <t>Population</t>
  </si>
  <si>
    <r>
      <t xml:space="preserve">Solution: Per Unit Values - Cumulative Premiums </t>
    </r>
    <r>
      <rPr>
        <b/>
        <sz val="13"/>
        <color rgb="FFFF0000"/>
        <rFont val="Arial"/>
        <family val="2"/>
      </rPr>
      <t>without</t>
    </r>
    <r>
      <rPr>
        <b/>
        <sz val="13"/>
        <rFont val="Arial"/>
        <family val="2"/>
      </rPr>
      <t xml:space="preserve"> interest</t>
    </r>
  </si>
  <si>
    <t>(/1000 FA)</t>
  </si>
  <si>
    <t>Projected</t>
  </si>
  <si>
    <t>Bonus</t>
  </si>
  <si>
    <t>Discount</t>
  </si>
  <si>
    <t>Accrual</t>
  </si>
  <si>
    <t>Factor</t>
  </si>
  <si>
    <t>b(ii)</t>
  </si>
  <si>
    <t>(per unit)</t>
  </si>
  <si>
    <t>Liability</t>
  </si>
  <si>
    <t>b(iii)</t>
  </si>
  <si>
    <t>Issued</t>
  </si>
  <si>
    <t>Unearned</t>
  </si>
  <si>
    <t>Amortization</t>
  </si>
  <si>
    <t>Revenue</t>
  </si>
  <si>
    <t>Solution 1 (per source material)</t>
  </si>
  <si>
    <t>b(iv)</t>
  </si>
  <si>
    <t>w/o Interest</t>
  </si>
  <si>
    <t>Policy Year</t>
  </si>
  <si>
    <t>with Interest</t>
  </si>
  <si>
    <t>Solution 2 (Set to AV per industry practice)</t>
  </si>
  <si>
    <t>Persistency Bonus Liability/Sales Inducement Liability</t>
  </si>
  <si>
    <t>Unearned Revenue Reserve</t>
  </si>
  <si>
    <t>Solution: Use inforce counts as the amortization base.</t>
  </si>
  <si>
    <t>Maximum Present Value</t>
  </si>
  <si>
    <t>Calculation Step 3</t>
  </si>
  <si>
    <t>Present Value</t>
  </si>
  <si>
    <t>Stat Reserve Rate</t>
  </si>
  <si>
    <t>Calculation Step 2</t>
  </si>
  <si>
    <t>Surrender Charge</t>
  </si>
  <si>
    <t>Crediting Rate</t>
  </si>
  <si>
    <t>Single Premium</t>
  </si>
  <si>
    <t>Calculation Step 1</t>
  </si>
  <si>
    <t xml:space="preserve">  = Deferred Premium Asset</t>
  </si>
  <si>
    <t>x Number of Modal Premiums Paid after Valuation Date and Prior to Next Anniversary</t>
  </si>
  <si>
    <t>= Modal Valuation Net Premium</t>
  </si>
  <si>
    <t>/ Number of Modal Premium Payments in Policy Year</t>
  </si>
  <si>
    <t>= Total Annual Valuation Net Premium</t>
  </si>
  <si>
    <t xml:space="preserve"> x Face Amount Per Thousand = 250,000 / 1,000</t>
  </si>
  <si>
    <t>= Valuation Net Premium associated with Basic Reserve Per Thousand</t>
  </si>
  <si>
    <t>x Gross Premium Per 1000 in Duration 11</t>
  </si>
  <si>
    <t>Minimum of Above Two K-Factors</t>
  </si>
  <si>
    <t>K-Factor for Total Statutory Reserve using Deficiency Reserve Mortality with X-Factors</t>
  </si>
  <si>
    <t>K-Factor for Basic Reserve</t>
  </si>
  <si>
    <t>Alternative Acceptable Answer as Required in Certain States in U.S.:</t>
  </si>
  <si>
    <t xml:space="preserve">K-factor for Basic Reserve </t>
  </si>
  <si>
    <t>ANSWER:</t>
  </si>
  <si>
    <r>
      <t>(ii)</t>
    </r>
    <r>
      <rPr>
        <sz val="7"/>
        <color theme="1"/>
        <rFont val="Times New Roman"/>
        <family val="1"/>
      </rPr>
      <t xml:space="preserve">           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1 point</t>
    </r>
    <r>
      <rPr>
        <sz val="12"/>
        <color theme="1"/>
        <rFont val="Times New Roman"/>
        <family val="1"/>
      </rPr>
      <t>)  Calculate the deferred premium asset for the policy as of Dec. 31, 2024, assuming actual policy premiums are paid monthly.</t>
    </r>
  </si>
  <si>
    <t>Total Mean Reserves(11) = (Total V(10) + Total Net Premium(11) + Total V(11) / 2 = (6669.3361 + 650.00+ 6862.7498)/2 =</t>
  </si>
  <si>
    <t>Total V(11) = V(11) x Face Amount / 1000 = 27.4510 x 250000 / 1000 =</t>
  </si>
  <si>
    <t xml:space="preserve">Total V(10) = V(10) x Face Amount / 1000 = 26.6773 x 250000 / 1000 = </t>
  </si>
  <si>
    <t>Total Net Premium(11)  = min(1, K-Factor for CRVM Reserves using Deficiency Reserve Mortality with X-factors) x GP(11) x 250,000 / 1,000 = min(1, 1.1061) x 6.50 x 250000 / 1000 =</t>
  </si>
  <si>
    <t>To Determine Total Mean Reserves Using Deficiency Reserve Mortality with X-factors:</t>
  </si>
  <si>
    <t>V(11) = PVDB(11,24) - min(1,K-Factor for Unitary CRVM Reserve) x PVGP(10,24) = 208.7752 - min(1, 1.1061) x 181.3242 =</t>
  </si>
  <si>
    <t>V(10) = PVDB(10,25) - min(1,K-Factor for Unitary CRVM Reserve) x PVGP(10,25) = 203.9653 - min(1, 1.1061) x 177.2880 =</t>
  </si>
  <si>
    <t>K-Factor for Unitary CRVM Reserve = (PVDB(0,35) + CRVM Expense Allowance) / PVGP(0,35) = (152.3249 + 1.9656) / 139.4923 =</t>
  </si>
  <si>
    <t>CRVM Expense Allowance = (PVDB(0,35) + CRVM Expense Allowance) / PVGP(0,35) = min(22.2796, 1.9656) - .2516 =</t>
  </si>
  <si>
    <t>c(x) = PVDB(0,1) =</t>
  </si>
  <si>
    <t>(t-1)P(x+1) = PVDB(1,34) / PVGP(1,34) x GP(2) = 197.3640 / 134.1338 x 1.78 =</t>
  </si>
  <si>
    <t>19P(x+1) = PVDB(1,omega-1) / a(1,19) = 311.4972 / 13.9813 =</t>
  </si>
  <si>
    <t xml:space="preserve">   and (t-1)P(x+1)(x+1) represents the premium for the current policy at an issue age 1 year higher and premium paying period less 1 year.</t>
  </si>
  <si>
    <t>CRVM Expense Allowance = (min(19P(x+1), (t-1)P(x+1)) - c(x)), where 19P(x+1) represents the premium for a 19-pay whole life plan</t>
  </si>
  <si>
    <t xml:space="preserve">K-Factor for Unitary CRVM Reserve = (PVDB(0,35) + CRVM Expense Allowance) / PVGP(0,35) </t>
  </si>
  <si>
    <t>To determine Total Reserves using Deficiency Reserve Mortality with X-factors:</t>
  </si>
  <si>
    <t>Total Reserves (which includes deficiency reserves), but using Deficiency Reserve Mortality with X-factors.</t>
  </si>
  <si>
    <t xml:space="preserve">Thus, the valuation method used to determine Unitary Reserves (CRVM) using Basic Mortality will be used to calculate </t>
  </si>
  <si>
    <t>For both policy year 10 and policy year 11, the Unitary Reserves are larger.</t>
  </si>
  <si>
    <t>Basic Reserves(11) = Maximum(Segmented Reserves(11), Unitary Reserves(11)) = Maximum(0.0310, 7.0358) =</t>
  </si>
  <si>
    <t>Basic Reserves(10) = Maximum(Segmented Reserves(10), Unitary Reserves(10)) = Maximum(0.0000, 6.8478) =</t>
  </si>
  <si>
    <t>Basic Reserves(t) = Maximum(Segmented Reserves(t), Unitary Reserves(t)) using Basic Mortality</t>
  </si>
  <si>
    <t>To determine Basic Reserves:</t>
  </si>
  <si>
    <t>V(11) = PVDB(11,24) - K-Factor for CRVM Reserve x PVGP(10,24) = 258.3205 - 1.4714 x 170.7798 =</t>
  </si>
  <si>
    <t>V(10) = PVDB(10,25) - K-Factor for CRVM Reserve x PVGP(10,25) = 252.4967 - 1.4714 x 166.9495 =</t>
  </si>
  <si>
    <t>K-Factor for CRVM Reserve = (PVDB(0,35) + CRVM Expense Allowance) / PVGP(0,35) = (191.0226 + 2.2062) / 131.3234 =</t>
  </si>
  <si>
    <t>CRVM Expense Allowance = (PVDB(0,35) + CRVM Expense Allowance) / PVGP(0,35) = min(24.0554, 2.6191) - .4129 =</t>
  </si>
  <si>
    <t>19P(x+1) = PVDB(1,omega-1) / a(1,19) = 333.7338 / 13.8735 =</t>
  </si>
  <si>
    <t xml:space="preserve">K-Factor for CRVM Reserve = (PVDB(0,35) + CRVM Expense Allowance) / PVGP(0,35) </t>
  </si>
  <si>
    <t>Unitary reserves require the calculation of CRVM reserves using Basic Mortality.</t>
  </si>
  <si>
    <t>To calculate Unitary Reserves:</t>
  </si>
  <si>
    <t>V(11) = PVDB(11,24) - K-Factor x PVGP(11,24) = 258.3205 - 1.5124 x 170.7798 =</t>
  </si>
  <si>
    <t>V(10) = PVDB(10,25) - K-Factor x PVGP(10,25)  = 252.4967 - 1.5124 x 166.9495 =</t>
  </si>
  <si>
    <t>K-Factor for Net Level Premium Reserve in Second Segment = PVDB(10,25) / PVGP(10,25) = 252.4967 / 166.9495 =</t>
  </si>
  <si>
    <t>For policies in the second and later segments, segmented reserves are calculated using the net level premium valuation method and using Basic Mortality.</t>
  </si>
  <si>
    <t xml:space="preserve"> </t>
  </si>
  <si>
    <t>This policy is currently in Policy Year 11, which is the first policy year of the second segment when calculating segmented reserves.</t>
  </si>
  <si>
    <t>To calculate Segmented Reserves:</t>
  </si>
  <si>
    <r>
      <t>(i)</t>
    </r>
    <r>
      <rPr>
        <sz val="7"/>
        <color theme="1"/>
        <rFont val="Times New Roman"/>
        <family val="1"/>
      </rPr>
      <t xml:space="preserve">             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5 points</t>
    </r>
    <r>
      <rPr>
        <sz val="12"/>
        <color theme="1"/>
        <rFont val="Times New Roman"/>
        <family val="1"/>
      </rPr>
      <t>)  Calculate the mean reserve for the policy as of Dec. 31, 2024.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</si>
  <si>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Premiums are assumed to be payable annually at beginning of the policy year for reserve calculations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</si>
  <si>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Death benefit is 250,000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</si>
  <si>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Cash value is zero for all years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</si>
  <si>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Policy was issued July 1, 2014</t>
    </r>
  </si>
  <si>
    <t>Assume the following:</t>
  </si>
  <si>
    <t>PV 1</t>
  </si>
  <si>
    <t>n</t>
  </si>
  <si>
    <t>t</t>
  </si>
  <si>
    <t>Present Value of annuity of 1 at end of policy year t for n-year term:</t>
  </si>
  <si>
    <t>Mortality for Deficiency Reserves without X factors</t>
  </si>
  <si>
    <t>Mortality for Deficiency Reserves with X factors</t>
  </si>
  <si>
    <t>Mortality for Basic Reserves</t>
  </si>
  <si>
    <t>PVGP</t>
  </si>
  <si>
    <t>Present Value of Guaranteed Premium at end of policy year t for n-year term:</t>
  </si>
  <si>
    <t>omega-1</t>
  </si>
  <si>
    <t>omega</t>
  </si>
  <si>
    <t>PVDB</t>
  </si>
  <si>
    <t>(Omega indicates end of mortality table, or whole life)</t>
  </si>
  <si>
    <t xml:space="preserve">Present Value of 1000 death benefit at end of policy year t for n-year term: </t>
  </si>
  <si>
    <t>Tabular Cost per 1000</t>
  </si>
  <si>
    <t>Segment</t>
  </si>
  <si>
    <t>Guaranteed Premium (per 1000)</t>
  </si>
  <si>
    <t>rates applicable for basic and deficiency reserve calculations, for a 35-year term contract.</t>
  </si>
  <si>
    <r>
      <t>(b)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6 points</t>
    </r>
    <r>
      <rPr>
        <sz val="12"/>
        <color theme="1"/>
        <rFont val="Times New Roman"/>
        <family val="1"/>
      </rPr>
      <t xml:space="preserve">)  You are given the following guaranteed premiums, contract segments, tabular cost per 1000 of death benefit, and various actuarial present values based on mortality </t>
    </r>
  </si>
  <si>
    <t>X-factors have no impact on the determination of segments.</t>
  </si>
  <si>
    <t xml:space="preserve">   = If(Ratio of Successive Guaranteed Premiums(t) &gt; max(1, Ratio of Successive Mortality Rates(t)), Segment(t-1) +1, Segment(t-1))</t>
  </si>
  <si>
    <t xml:space="preserve">Segment in Policy Years 2 and later = </t>
  </si>
  <si>
    <t>Segment = 1 in Policy Year 1.</t>
  </si>
  <si>
    <t xml:space="preserve">   where Ratio of Successive Guaranteed Premiums(1) = 1.</t>
  </si>
  <si>
    <t>Ratio of Successive Guaranteed Premiums(t+1) = Prem(t+1) / Prem(t), where Prem(t) = Guaranteed Premium in Policy Year t,</t>
  </si>
  <si>
    <t xml:space="preserve">   where Ratio of Successive Mortality Rates(1) = 1.</t>
  </si>
  <si>
    <t>Ratio of Successive Mortality Rates(t+1) = q(t+1) / q(t), where q(t) = Deficiency Reserve Mortlity in Policy Year t,</t>
  </si>
  <si>
    <t>Formulas</t>
  </si>
  <si>
    <t>Ratio of Successive Guaranteed Premiums</t>
  </si>
  <si>
    <t>Ratio of Successive Mortality Rates</t>
  </si>
  <si>
    <t>X-factor</t>
  </si>
  <si>
    <t>Deficiency Reserve Mortality (per 1000)</t>
  </si>
  <si>
    <t>Policy Yr</t>
  </si>
  <si>
    <t xml:space="preserve">Determine the contract segments used to calculate segmented reserves. </t>
  </si>
  <si>
    <r>
      <t>(a)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2 points</t>
    </r>
    <r>
      <rPr>
        <sz val="12"/>
        <color theme="1"/>
        <rFont val="Times New Roman"/>
        <family val="1"/>
      </rPr>
      <t>)  You are given the following the mortality rates, X-factors, and guaranteed premium rates for a 25-year term life insurance contract in this block.  Assume no policy fees.</t>
    </r>
  </si>
  <si>
    <t>For a block of level death benefit nonlevel premium term life insurance policies, statutory reserves are determined in accordance with the Valuation of Life Insurance Policies Model Regulation.</t>
  </si>
  <si>
    <t>Responses for all of Q5 are to be provided in this tab.</t>
  </si>
  <si>
    <t>QUESTION 5 (a) and (b)</t>
  </si>
  <si>
    <t>use 2% interest rate</t>
  </si>
  <si>
    <t>MEC Annual Premium</t>
  </si>
  <si>
    <t>use age 50 (reduction event recalc at issue)</t>
  </si>
  <si>
    <t>Cash Surrender Value</t>
  </si>
  <si>
    <t xml:space="preserve">reduction means recalculate from issue </t>
  </si>
  <si>
    <t>add7 for 50 @ 2%</t>
  </si>
  <si>
    <t>this is a reduction event that does not reduce the NSP by the Cash Surrender Value</t>
  </si>
  <si>
    <t>NSP (Ax) for 50 @ 2%</t>
  </si>
  <si>
    <t>Death Benefits</t>
  </si>
  <si>
    <t>After Issue</t>
  </si>
  <si>
    <t>Part (iii)</t>
  </si>
  <si>
    <t>use age 52 (material change)</t>
  </si>
  <si>
    <r>
      <t xml:space="preserve">Where </t>
    </r>
    <r>
      <rPr>
        <sz val="11"/>
        <rFont val="Calibri"/>
        <family val="2"/>
      </rPr>
      <t>ä</t>
    </r>
    <r>
      <rPr>
        <vertAlign val="subscript"/>
        <sz val="11"/>
        <rFont val="Calibri"/>
        <family val="2"/>
      </rPr>
      <t xml:space="preserve">x:7  </t>
    </r>
    <r>
      <rPr>
        <sz val="11"/>
        <color rgb="FF000000"/>
        <rFont val="Calibri"/>
        <family val="2"/>
      </rPr>
      <t>is a 7-year annuity due for policyholder age x</t>
    </r>
  </si>
  <si>
    <t>reduce the NSP by the Cash Surrender Value</t>
  </si>
  <si>
    <t>add7 for 52 @ 2%</t>
  </si>
  <si>
    <t xml:space="preserve">knowing material change rule means restart 7-year period </t>
  </si>
  <si>
    <t>NSP (Ax) for 52 @ 2%</t>
  </si>
  <si>
    <t>realizing this is a material change (not reduction event)</t>
  </si>
  <si>
    <t>Part (ii)</t>
  </si>
  <si>
    <r>
      <t>ä</t>
    </r>
    <r>
      <rPr>
        <vertAlign val="subscript"/>
        <sz val="11"/>
        <color rgb="FF000000"/>
        <rFont val="Calibri"/>
        <family val="2"/>
      </rPr>
      <t>x:4</t>
    </r>
  </si>
  <si>
    <r>
      <t>ä</t>
    </r>
    <r>
      <rPr>
        <vertAlign val="subscript"/>
        <sz val="11"/>
        <color rgb="FF000000"/>
        <rFont val="Calibri"/>
        <family val="2"/>
      </rPr>
      <t>x:7</t>
    </r>
  </si>
  <si>
    <r>
      <t>A</t>
    </r>
    <r>
      <rPr>
        <vertAlign val="subscript"/>
        <sz val="11"/>
        <color rgb="FF000000"/>
        <rFont val="Calibri"/>
        <family val="2"/>
      </rPr>
      <t>x</t>
    </r>
  </si>
  <si>
    <t>Formula = ((Ax* Face Amount / 1000-CSV)/add7</t>
  </si>
  <si>
    <t>At issue</t>
  </si>
  <si>
    <t>Part (i)</t>
  </si>
  <si>
    <t>Excel solution</t>
  </si>
  <si>
    <t>Given assumptions</t>
  </si>
  <si>
    <r>
      <rPr>
        <b/>
        <sz val="10"/>
        <color rgb="FFFF0000"/>
        <rFont val="Arial"/>
        <family val="2"/>
      </rPr>
      <t>Appraisal value</t>
    </r>
    <r>
      <rPr>
        <sz val="10"/>
        <color rgb="FF0070C0"/>
        <rFont val="Arial"/>
        <family val="2"/>
      </rPr>
      <t xml:space="preserve"> = NPV (distributable earnings) = Value of inforce + Adjusted Book Value - Cost of Required Capital</t>
    </r>
  </si>
  <si>
    <r>
      <rPr>
        <b/>
        <sz val="10"/>
        <color rgb="FFFF0000"/>
        <rFont val="Arial"/>
        <family val="2"/>
      </rPr>
      <t>Cost of required capital</t>
    </r>
    <r>
      <rPr>
        <sz val="10"/>
        <color rgb="FF0070C0"/>
        <rFont val="Arial"/>
        <family val="2"/>
      </rPr>
      <t xml:space="preserve"> = NPV (Cost of Capital)</t>
    </r>
  </si>
  <si>
    <t>Adjusted book value</t>
  </si>
  <si>
    <t>Value of inforce business</t>
  </si>
  <si>
    <t>Cost of Capital</t>
  </si>
  <si>
    <t>Requird Capital</t>
  </si>
  <si>
    <r>
      <rPr>
        <b/>
        <sz val="10"/>
        <color rgb="FFFF0000"/>
        <rFont val="Arial"/>
        <family val="2"/>
      </rPr>
      <t>Cost of Capital(t)</t>
    </r>
    <r>
      <rPr>
        <sz val="10"/>
        <color rgb="FF0070C0"/>
        <rFont val="Arial"/>
        <family val="2"/>
      </rPr>
      <t xml:space="preserve"> = Required capital(t-1) * (discount rate - after-tax earnings rate)</t>
    </r>
  </si>
  <si>
    <t>= 5% * 300/(300+700) + 15%*700/(300+700)</t>
  </si>
  <si>
    <t>RDR = (CAPM Rate * MV Equity + Debt Rate * MV Debt)/(MV Equity + MV Debt)</t>
  </si>
  <si>
    <r>
      <rPr>
        <b/>
        <sz val="10"/>
        <color rgb="FFFF0000"/>
        <rFont val="Arial"/>
        <family val="2"/>
      </rPr>
      <t>Hurdle rate</t>
    </r>
    <r>
      <rPr>
        <sz val="10"/>
        <color rgb="FF0070C0"/>
        <rFont val="Arial"/>
        <family val="2"/>
      </rPr>
      <t xml:space="preserve"> = required return on debt * MV of debt / (MV of debt + MV of equity) + required return on equity * MV of equity / (MV of debt + MV of equity) </t>
    </r>
  </si>
  <si>
    <r>
      <rPr>
        <b/>
        <sz val="10"/>
        <color rgb="FFFF0000"/>
        <rFont val="Arial"/>
        <family val="2"/>
      </rPr>
      <t xml:space="preserve">Requred return on equity </t>
    </r>
    <r>
      <rPr>
        <sz val="10"/>
        <color rgb="FF0070C0"/>
        <rFont val="Arial"/>
        <family val="2"/>
      </rPr>
      <t>= RiskFreeRate + Beta * (Market Equity Rate - RiskFreeRate) = 4% + 0.8 * (17.75% - 4%) = 15%</t>
    </r>
  </si>
  <si>
    <t>Solution:</t>
  </si>
  <si>
    <t>Calculate the actuarial appraisal value of this block.  Show all work.</t>
  </si>
  <si>
    <t>Required capital</t>
  </si>
  <si>
    <t>After-tax investment earnings rate</t>
  </si>
  <si>
    <t>Required return on debt</t>
  </si>
  <si>
    <t>Market value of equity</t>
  </si>
  <si>
    <t>Market value of debt</t>
  </si>
  <si>
    <t>Company beta</t>
  </si>
  <si>
    <t>Expected rate of return for the market as a whole</t>
  </si>
  <si>
    <t>Risk-free rate</t>
  </si>
  <si>
    <r>
      <t>(a)</t>
    </r>
    <r>
      <rPr>
        <sz val="7"/>
        <color theme="1"/>
        <rFont val="Times New Roman"/>
        <family val="1"/>
      </rPr>
      <t>  </t>
    </r>
    <r>
      <rPr>
        <sz val="12"/>
        <color theme="1"/>
        <rFont val="Times New Roman"/>
        <family val="1"/>
      </rPr>
      <t xml:space="preserve"> You are given:</t>
    </r>
  </si>
  <si>
    <t>Responses for part (a) are to be provided in this tab.</t>
  </si>
  <si>
    <t>QUESTION 8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</si>
</sst>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0000_);_(* \(#,##0.000000\);_(* &quot;-&quot;??_);_(@_)"/>
    <numFmt numFmtId="167" formatCode="_(* #,##0.00000_);_(* \(#,##0.00000\);_(* &quot;-&quot;??_);_(@_)"/>
    <numFmt numFmtId="168" formatCode="_(* #,##0.000_);_(* \(#,##0.000\);_(* &quot;-&quot;??_);_(@_)"/>
    <numFmt numFmtId="169" formatCode="#,##0.00000000_);\(#,##0.00000000\)"/>
    <numFmt numFmtId="170" formatCode="_(* #,##0.0000_);_(* \(#,##0.0000\);_(* &quot;-&quot;??_);_(@_)"/>
    <numFmt numFmtId="171" formatCode="0.0000"/>
    <numFmt numFmtId="172" formatCode="0.0%"/>
  </numFmts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b/>
      <sz val="10"/>
      <color theme="3"/>
      <name val="Arial"/>
      <family val="2"/>
    </font>
    <font>
      <b/>
      <sz val="13"/>
      <name val="Arial"/>
      <family val="2"/>
    </font>
    <font>
      <b/>
      <sz val="13"/>
      <color rgb="FFFF0000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u/>
      <sz val="10"/>
      <name val="Arial"/>
      <family val="2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Symbol"/>
      <family val="1"/>
      <charset val="2"/>
    </font>
    <font>
      <b/>
      <sz val="11"/>
      <color theme="1"/>
      <name val="Calibri"/>
      <family val="2"/>
      <scheme val="minor"/>
    </font>
    <font>
      <b/>
      <sz val="12"/>
      <color rgb="FF002060"/>
      <name val="Times New Roman"/>
      <family val="1"/>
    </font>
    <font>
      <b/>
      <sz val="14"/>
      <color rgb="FF002060"/>
      <name val="Times New Roman"/>
      <family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vertAlign val="subscript"/>
      <sz val="11"/>
      <name val="Calibri"/>
      <family val="2"/>
    </font>
    <font>
      <vertAlign val="subscript"/>
      <sz val="11"/>
      <color rgb="FF000000"/>
      <name val="Calibri"/>
      <family val="2"/>
    </font>
    <font>
      <b/>
      <sz val="10"/>
      <color rgb="FFFF0000"/>
      <name val="Arial"/>
      <family val="2"/>
    </font>
    <font>
      <sz val="10"/>
      <color theme="5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57">
    <xf numFmtId="0" fontId="0" fillId="0" borderId="0"/>
    <xf numFmtId="0" fontId="25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164" fontId="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5" fillId="0" borderId="0"/>
    <xf numFmtId="0" fontId="4" fillId="0" borderId="0"/>
    <xf numFmtId="0" fontId="18" fillId="0" borderId="0"/>
    <xf numFmtId="0" fontId="4" fillId="0" borderId="0"/>
    <xf numFmtId="0" fontId="4" fillId="0" borderId="0"/>
    <xf numFmtId="0" fontId="18" fillId="23" borderId="7" applyNumberFormat="0" applyFont="0" applyAlignment="0" applyProtection="0"/>
    <xf numFmtId="0" fontId="4" fillId="23" borderId="7" applyNumberFormat="0" applyFont="0" applyAlignment="0" applyProtection="0"/>
    <xf numFmtId="0" fontId="19" fillId="20" borderId="8" applyNumberFormat="0" applyAlignment="0" applyProtection="0"/>
    <xf numFmtId="0" fontId="19" fillId="20" borderId="8" applyNumberFormat="0" applyAlignment="0" applyProtection="0"/>
    <xf numFmtId="9" fontId="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" fillId="0" borderId="0"/>
    <xf numFmtId="0" fontId="24" fillId="0" borderId="0"/>
    <xf numFmtId="0" fontId="8" fillId="20" borderId="13" applyNumberFormat="0" applyAlignment="0" applyProtection="0"/>
    <xf numFmtId="0" fontId="8" fillId="20" borderId="13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5" fillId="7" borderId="13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5" fillId="7" borderId="13" applyNumberFormat="0" applyAlignment="0" applyProtection="0"/>
    <xf numFmtId="0" fontId="4" fillId="23" borderId="10" applyNumberFormat="0" applyFont="0" applyAlignment="0" applyProtection="0"/>
    <xf numFmtId="0" fontId="4" fillId="23" borderId="10" applyNumberFormat="0" applyFont="0" applyAlignment="0" applyProtection="0"/>
    <xf numFmtId="0" fontId="19" fillId="20" borderId="11" applyNumberFormat="0" applyAlignment="0" applyProtection="0"/>
    <xf numFmtId="0" fontId="19" fillId="20" borderId="11" applyNumberFormat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8" fillId="20" borderId="14" applyNumberFormat="0" applyAlignment="0" applyProtection="0"/>
    <xf numFmtId="0" fontId="8" fillId="20" borderId="14" applyNumberFormat="0" applyAlignment="0" applyProtection="0"/>
    <xf numFmtId="0" fontId="15" fillId="7" borderId="14" applyNumberFormat="0" applyAlignment="0" applyProtection="0"/>
    <xf numFmtId="0" fontId="15" fillId="7" borderId="14" applyNumberFormat="0" applyAlignment="0" applyProtection="0"/>
    <xf numFmtId="0" fontId="4" fillId="23" borderId="15" applyNumberFormat="0" applyFont="0" applyAlignment="0" applyProtection="0"/>
    <xf numFmtId="0" fontId="4" fillId="23" borderId="15" applyNumberFormat="0" applyFont="0" applyAlignment="0" applyProtection="0"/>
    <xf numFmtId="0" fontId="19" fillId="20" borderId="16" applyNumberFormat="0" applyAlignment="0" applyProtection="0"/>
    <xf numFmtId="0" fontId="19" fillId="20" borderId="16" applyNumberFormat="0" applyAlignment="0" applyProtection="0"/>
    <xf numFmtId="0" fontId="21" fillId="0" borderId="17" applyNumberFormat="0" applyFill="0" applyAlignment="0" applyProtection="0"/>
    <xf numFmtId="0" fontId="21" fillId="0" borderId="17" applyNumberFormat="0" applyFill="0" applyAlignment="0" applyProtection="0"/>
    <xf numFmtId="0" fontId="2" fillId="0" borderId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</cellStyleXfs>
  <cellXfs count="177">
    <xf numFmtId="0" fontId="0" fillId="0" borderId="0" xfId="0"/>
    <xf numFmtId="0" fontId="23" fillId="0" borderId="0" xfId="0" applyFont="1"/>
    <xf numFmtId="0" fontId="23" fillId="24" borderId="0" xfId="0" applyFont="1" applyFill="1"/>
    <xf numFmtId="0" fontId="0" fillId="24" borderId="0" xfId="0" applyFill="1"/>
    <xf numFmtId="165" fontId="0" fillId="26" borderId="0" xfId="113" applyNumberFormat="1" applyFont="1" applyFill="1"/>
    <xf numFmtId="10" fontId="0" fillId="24" borderId="0" xfId="0" applyNumberFormat="1" applyFill="1"/>
    <xf numFmtId="0" fontId="33" fillId="24" borderId="0" xfId="0" applyFont="1" applyFill="1"/>
    <xf numFmtId="0" fontId="0" fillId="24" borderId="0" xfId="0" applyFill="1" applyAlignment="1">
      <alignment horizontal="left"/>
    </xf>
    <xf numFmtId="0" fontId="0" fillId="24" borderId="0" xfId="0" applyFill="1" applyAlignment="1">
      <alignment horizontal="center"/>
    </xf>
    <xf numFmtId="0" fontId="33" fillId="24" borderId="0" xfId="0" applyFont="1" applyFill="1" applyAlignment="1">
      <alignment horizontal="center"/>
    </xf>
    <xf numFmtId="0" fontId="34" fillId="24" borderId="0" xfId="0" applyFont="1" applyFill="1" applyAlignment="1">
      <alignment horizontal="center"/>
    </xf>
    <xf numFmtId="166" fontId="0" fillId="24" borderId="0" xfId="113" applyNumberFormat="1" applyFont="1" applyFill="1"/>
    <xf numFmtId="9" fontId="0" fillId="24" borderId="0" xfId="0" applyNumberFormat="1" applyFill="1"/>
    <xf numFmtId="43" fontId="0" fillId="24" borderId="0" xfId="0" applyNumberFormat="1" applyFill="1"/>
    <xf numFmtId="43" fontId="0" fillId="24" borderId="0" xfId="113" applyFont="1" applyFill="1"/>
    <xf numFmtId="165" fontId="0" fillId="24" borderId="0" xfId="0" applyNumberFormat="1" applyFill="1"/>
    <xf numFmtId="0" fontId="35" fillId="24" borderId="0" xfId="0" applyFont="1" applyFill="1"/>
    <xf numFmtId="165" fontId="0" fillId="0" borderId="0" xfId="113" applyNumberFormat="1" applyFont="1" applyFill="1"/>
    <xf numFmtId="43" fontId="0" fillId="24" borderId="0" xfId="152" applyFont="1" applyFill="1"/>
    <xf numFmtId="2" fontId="0" fillId="24" borderId="0" xfId="0" applyNumberFormat="1" applyFill="1"/>
    <xf numFmtId="0" fontId="37" fillId="24" borderId="0" xfId="0" applyFont="1" applyFill="1" applyAlignment="1">
      <alignment horizontal="center"/>
    </xf>
    <xf numFmtId="0" fontId="38" fillId="24" borderId="0" xfId="0" applyFont="1" applyFill="1" applyAlignment="1">
      <alignment horizontal="center"/>
    </xf>
    <xf numFmtId="43" fontId="37" fillId="24" borderId="0" xfId="0" applyNumberFormat="1" applyFont="1" applyFill="1"/>
    <xf numFmtId="43" fontId="37" fillId="24" borderId="0" xfId="113" applyFont="1" applyFill="1"/>
    <xf numFmtId="165" fontId="37" fillId="24" borderId="0" xfId="113" applyNumberFormat="1" applyFont="1" applyFill="1"/>
    <xf numFmtId="9" fontId="37" fillId="24" borderId="0" xfId="153" applyFont="1" applyFill="1"/>
    <xf numFmtId="43" fontId="37" fillId="24" borderId="0" xfId="152" applyFont="1" applyFill="1"/>
    <xf numFmtId="0" fontId="37" fillId="24" borderId="0" xfId="0" applyFont="1" applyFill="1"/>
    <xf numFmtId="165" fontId="37" fillId="24" borderId="0" xfId="0" applyNumberFormat="1" applyFont="1" applyFill="1"/>
    <xf numFmtId="43" fontId="37" fillId="24" borderId="0" xfId="152" applyFont="1" applyFill="1" applyAlignment="1">
      <alignment horizontal="center"/>
    </xf>
    <xf numFmtId="167" fontId="37" fillId="24" borderId="0" xfId="152" applyNumberFormat="1" applyFont="1" applyFill="1" applyAlignment="1">
      <alignment horizontal="right"/>
    </xf>
    <xf numFmtId="167" fontId="37" fillId="24" borderId="0" xfId="152" applyNumberFormat="1" applyFont="1" applyFill="1" applyAlignment="1">
      <alignment horizontal="center"/>
    </xf>
    <xf numFmtId="167" fontId="37" fillId="24" borderId="0" xfId="152" applyNumberFormat="1" applyFont="1" applyFill="1"/>
    <xf numFmtId="0" fontId="4" fillId="24" borderId="0" xfId="0" applyFont="1" applyFill="1" applyAlignment="1">
      <alignment horizontal="center"/>
    </xf>
    <xf numFmtId="43" fontId="37" fillId="25" borderId="0" xfId="152" applyFont="1" applyFill="1"/>
    <xf numFmtId="0" fontId="23" fillId="24" borderId="0" xfId="0" applyFont="1" applyFill="1" applyAlignment="1">
      <alignment horizontal="center"/>
    </xf>
    <xf numFmtId="43" fontId="0" fillId="0" borderId="0" xfId="113" applyFont="1" applyFill="1"/>
    <xf numFmtId="0" fontId="4" fillId="0" borderId="0" xfId="0" applyFont="1"/>
    <xf numFmtId="0" fontId="34" fillId="24" borderId="0" xfId="0" quotePrefix="1" applyFont="1" applyFill="1" applyAlignment="1">
      <alignment horizontal="center"/>
    </xf>
    <xf numFmtId="10" fontId="23" fillId="24" borderId="0" xfId="0" applyNumberFormat="1" applyFont="1" applyFill="1"/>
    <xf numFmtId="167" fontId="4" fillId="24" borderId="0" xfId="152" applyNumberFormat="1" applyFont="1" applyFill="1" applyAlignment="1">
      <alignment horizontal="center"/>
    </xf>
    <xf numFmtId="9" fontId="4" fillId="24" borderId="0" xfId="153" applyFont="1" applyFill="1"/>
    <xf numFmtId="167" fontId="4" fillId="24" borderId="0" xfId="152" applyNumberFormat="1" applyFont="1" applyFill="1"/>
    <xf numFmtId="168" fontId="4" fillId="24" borderId="0" xfId="152" applyNumberFormat="1" applyFont="1" applyFill="1" applyAlignment="1">
      <alignment horizontal="center"/>
    </xf>
    <xf numFmtId="168" fontId="4" fillId="24" borderId="0" xfId="152" applyNumberFormat="1" applyFont="1" applyFill="1"/>
    <xf numFmtId="43" fontId="4" fillId="24" borderId="0" xfId="152" applyFont="1" applyFill="1" applyAlignment="1">
      <alignment horizontal="center"/>
    </xf>
    <xf numFmtId="43" fontId="4" fillId="24" borderId="0" xfId="152" applyFont="1" applyFill="1"/>
    <xf numFmtId="43" fontId="0" fillId="25" borderId="0" xfId="152" applyFont="1" applyFill="1"/>
    <xf numFmtId="0" fontId="35" fillId="0" borderId="0" xfId="0" applyFont="1"/>
    <xf numFmtId="10" fontId="0" fillId="0" borderId="0" xfId="0" applyNumberFormat="1"/>
    <xf numFmtId="0" fontId="23" fillId="0" borderId="0" xfId="0" applyFont="1" applyAlignment="1">
      <alignment horizontal="center"/>
    </xf>
    <xf numFmtId="10" fontId="23" fillId="0" borderId="0" xfId="0" applyNumberFormat="1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0" xfId="152" applyFont="1" applyFill="1"/>
    <xf numFmtId="9" fontId="4" fillId="0" borderId="0" xfId="153" applyFont="1" applyFill="1"/>
    <xf numFmtId="43" fontId="0" fillId="0" borderId="0" xfId="152" applyFont="1" applyFill="1" applyAlignment="1">
      <alignment horizontal="center"/>
    </xf>
    <xf numFmtId="43" fontId="4" fillId="0" borderId="0" xfId="152" applyFont="1" applyFill="1" applyAlignment="1">
      <alignment horizontal="center"/>
    </xf>
    <xf numFmtId="165" fontId="0" fillId="0" borderId="0" xfId="152" applyNumberFormat="1" applyFont="1" applyFill="1"/>
    <xf numFmtId="43" fontId="4" fillId="0" borderId="0" xfId="152" applyFont="1" applyFill="1"/>
    <xf numFmtId="43" fontId="4" fillId="25" borderId="0" xfId="152" applyFont="1" applyFill="1"/>
    <xf numFmtId="0" fontId="23" fillId="0" borderId="0" xfId="0" applyFont="1" applyAlignment="1">
      <alignment horizontal="left"/>
    </xf>
    <xf numFmtId="165" fontId="4" fillId="24" borderId="0" xfId="113" applyNumberFormat="1" applyFont="1" applyFill="1"/>
    <xf numFmtId="165" fontId="4" fillId="25" borderId="0" xfId="113" applyNumberFormat="1" applyFont="1" applyFill="1"/>
    <xf numFmtId="0" fontId="4" fillId="24" borderId="0" xfId="0" applyFont="1" applyFill="1" applyAlignment="1">
      <alignment horizontal="center" vertical="center" wrapText="1"/>
    </xf>
    <xf numFmtId="165" fontId="0" fillId="24" borderId="0" xfId="152" applyNumberFormat="1" applyFont="1" applyFill="1"/>
    <xf numFmtId="165" fontId="0" fillId="25" borderId="0" xfId="152" applyNumberFormat="1" applyFont="1" applyFill="1"/>
    <xf numFmtId="0" fontId="23" fillId="24" borderId="0" xfId="0" applyFont="1" applyFill="1" applyAlignment="1">
      <alignment horizontal="left"/>
    </xf>
    <xf numFmtId="43" fontId="37" fillId="0" borderId="0" xfId="113" applyFont="1" applyFill="1"/>
    <xf numFmtId="0" fontId="4" fillId="24" borderId="0" xfId="0" applyFont="1" applyFill="1" applyAlignment="1">
      <alignment horizontal="center" vertical="center" wrapText="1"/>
    </xf>
    <xf numFmtId="0" fontId="1" fillId="0" borderId="0" xfId="154"/>
    <xf numFmtId="0" fontId="4" fillId="0" borderId="18" xfId="84" applyBorder="1"/>
    <xf numFmtId="0" fontId="4" fillId="0" borderId="19" xfId="84" applyBorder="1"/>
    <xf numFmtId="0" fontId="4" fillId="0" borderId="20" xfId="84" applyBorder="1"/>
    <xf numFmtId="0" fontId="4" fillId="0" borderId="21" xfId="84" applyBorder="1"/>
    <xf numFmtId="0" fontId="4" fillId="0" borderId="0" xfId="84"/>
    <xf numFmtId="37" fontId="4" fillId="0" borderId="0" xfId="84" applyNumberFormat="1"/>
    <xf numFmtId="0" fontId="4" fillId="0" borderId="22" xfId="84" applyBorder="1"/>
    <xf numFmtId="0" fontId="39" fillId="0" borderId="22" xfId="84" applyFont="1" applyBorder="1"/>
    <xf numFmtId="1" fontId="4" fillId="0" borderId="21" xfId="84" applyNumberFormat="1" applyBorder="1"/>
    <xf numFmtId="1" fontId="4" fillId="0" borderId="0" xfId="84" applyNumberFormat="1"/>
    <xf numFmtId="37" fontId="4" fillId="0" borderId="21" xfId="84" applyNumberFormat="1" applyBorder="1"/>
    <xf numFmtId="0" fontId="4" fillId="0" borderId="0" xfId="84" applyAlignment="1">
      <alignment horizontal="right"/>
    </xf>
    <xf numFmtId="0" fontId="4" fillId="0" borderId="22" xfId="84" applyBorder="1" applyAlignment="1">
      <alignment horizontal="right"/>
    </xf>
    <xf numFmtId="10" fontId="4" fillId="0" borderId="0" xfId="121" applyNumberFormat="1" applyFont="1" applyBorder="1"/>
    <xf numFmtId="0" fontId="39" fillId="0" borderId="0" xfId="84" applyFont="1"/>
    <xf numFmtId="10" fontId="4" fillId="0" borderId="21" xfId="121" applyNumberFormat="1" applyFont="1" applyBorder="1"/>
    <xf numFmtId="10" fontId="4" fillId="0" borderId="0" xfId="121" applyNumberFormat="1" applyFont="1" applyFill="1" applyBorder="1"/>
    <xf numFmtId="0" fontId="4" fillId="0" borderId="23" xfId="84" applyBorder="1"/>
    <xf numFmtId="0" fontId="4" fillId="0" borderId="24" xfId="84" applyBorder="1"/>
    <xf numFmtId="0" fontId="39" fillId="0" borderId="24" xfId="84" applyFont="1" applyBorder="1"/>
    <xf numFmtId="0" fontId="39" fillId="0" borderId="25" xfId="84" applyFont="1" applyBorder="1"/>
    <xf numFmtId="43" fontId="1" fillId="0" borderId="0" xfId="154" applyNumberFormat="1"/>
    <xf numFmtId="0" fontId="1" fillId="0" borderId="0" xfId="154" quotePrefix="1"/>
    <xf numFmtId="0" fontId="40" fillId="0" borderId="0" xfId="154" applyFont="1" applyAlignment="1">
      <alignment horizontal="left" vertical="center" indent="1"/>
    </xf>
    <xf numFmtId="0" fontId="40" fillId="0" borderId="0" xfId="154" quotePrefix="1" applyFont="1" applyAlignment="1">
      <alignment horizontal="left" vertical="center" indent="1"/>
    </xf>
    <xf numFmtId="0" fontId="1" fillId="27" borderId="0" xfId="154" applyFill="1"/>
    <xf numFmtId="0" fontId="40" fillId="27" borderId="0" xfId="154" applyFont="1" applyFill="1" applyAlignment="1">
      <alignment horizontal="left" vertical="center" indent="1"/>
    </xf>
    <xf numFmtId="169" fontId="1" fillId="0" borderId="0" xfId="154" applyNumberFormat="1"/>
    <xf numFmtId="170" fontId="1" fillId="0" borderId="0" xfId="154" applyNumberFormat="1"/>
    <xf numFmtId="0" fontId="40" fillId="0" borderId="0" xfId="154" applyFont="1" applyAlignment="1">
      <alignment vertical="center"/>
    </xf>
    <xf numFmtId="0" fontId="40" fillId="27" borderId="0" xfId="154" applyFont="1" applyFill="1" applyAlignment="1">
      <alignment horizontal="left" vertical="center" indent="2"/>
    </xf>
    <xf numFmtId="0" fontId="40" fillId="27" borderId="0" xfId="154" applyFont="1" applyFill="1" applyAlignment="1">
      <alignment vertical="center"/>
    </xf>
    <xf numFmtId="0" fontId="43" fillId="27" borderId="0" xfId="154" applyFont="1" applyFill="1" applyAlignment="1">
      <alignment horizontal="left" vertical="center" indent="7"/>
    </xf>
    <xf numFmtId="171" fontId="1" fillId="27" borderId="26" xfId="154" applyNumberFormat="1" applyFill="1" applyBorder="1"/>
    <xf numFmtId="0" fontId="1" fillId="27" borderId="26" xfId="154" applyFill="1" applyBorder="1" applyAlignment="1">
      <alignment horizontal="center"/>
    </xf>
    <xf numFmtId="43" fontId="0" fillId="27" borderId="26" xfId="155" applyFont="1" applyFill="1" applyBorder="1"/>
    <xf numFmtId="0" fontId="1" fillId="27" borderId="26" xfId="154" applyFill="1" applyBorder="1"/>
    <xf numFmtId="170" fontId="0" fillId="27" borderId="0" xfId="155" applyNumberFormat="1" applyFont="1" applyFill="1"/>
    <xf numFmtId="0" fontId="1" fillId="27" borderId="0" xfId="154" applyFill="1" applyAlignment="1">
      <alignment horizontal="center"/>
    </xf>
    <xf numFmtId="0" fontId="23" fillId="27" borderId="0" xfId="154" applyFont="1" applyFill="1" applyAlignment="1">
      <alignment horizontal="center"/>
    </xf>
    <xf numFmtId="0" fontId="44" fillId="27" borderId="0" xfId="154" applyFont="1" applyFill="1" applyAlignment="1">
      <alignment wrapText="1"/>
    </xf>
    <xf numFmtId="0" fontId="1" fillId="27" borderId="0" xfId="154" applyFill="1" applyAlignment="1">
      <alignment horizontal="left" vertical="top"/>
    </xf>
    <xf numFmtId="0" fontId="4" fillId="27" borderId="0" xfId="154" applyFont="1" applyFill="1" applyAlignment="1">
      <alignment horizontal="left" vertical="top"/>
    </xf>
    <xf numFmtId="0" fontId="44" fillId="27" borderId="0" xfId="154" applyFont="1" applyFill="1" applyAlignment="1">
      <alignment horizontal="center"/>
    </xf>
    <xf numFmtId="0" fontId="1" fillId="27" borderId="0" xfId="154" applyFill="1" applyAlignment="1">
      <alignment horizontal="left"/>
    </xf>
    <xf numFmtId="0" fontId="4" fillId="27" borderId="0" xfId="154" applyFont="1" applyFill="1" applyAlignment="1">
      <alignment horizontal="left"/>
    </xf>
    <xf numFmtId="0" fontId="23" fillId="27" borderId="26" xfId="154" applyFont="1" applyFill="1" applyBorder="1" applyAlignment="1">
      <alignment wrapText="1"/>
    </xf>
    <xf numFmtId="43" fontId="23" fillId="27" borderId="26" xfId="155" applyFont="1" applyFill="1" applyBorder="1" applyAlignment="1">
      <alignment wrapText="1"/>
    </xf>
    <xf numFmtId="0" fontId="40" fillId="27" borderId="0" xfId="154" applyFont="1" applyFill="1"/>
    <xf numFmtId="2" fontId="1" fillId="27" borderId="26" xfId="154" applyNumberFormat="1" applyFill="1" applyBorder="1"/>
    <xf numFmtId="2" fontId="1" fillId="27" borderId="26" xfId="154" applyNumberFormat="1" applyFill="1" applyBorder="1" applyAlignment="1">
      <alignment horizontal="right"/>
    </xf>
    <xf numFmtId="0" fontId="23" fillId="27" borderId="22" xfId="154" applyFont="1" applyFill="1" applyBorder="1" applyAlignment="1">
      <alignment wrapText="1"/>
    </xf>
    <xf numFmtId="0" fontId="23" fillId="27" borderId="27" xfId="154" applyFont="1" applyFill="1" applyBorder="1" applyAlignment="1">
      <alignment wrapText="1"/>
    </xf>
    <xf numFmtId="0" fontId="1" fillId="0" borderId="0" xfId="154" applyAlignment="1">
      <alignment horizontal="center"/>
    </xf>
    <xf numFmtId="0" fontId="45" fillId="27" borderId="0" xfId="154" applyFont="1" applyFill="1"/>
    <xf numFmtId="0" fontId="46" fillId="27" borderId="0" xfId="154" applyFont="1" applyFill="1"/>
    <xf numFmtId="0" fontId="47" fillId="0" borderId="0" xfId="84" applyFont="1"/>
    <xf numFmtId="43" fontId="47" fillId="0" borderId="0" xfId="84" applyNumberFormat="1" applyFont="1"/>
    <xf numFmtId="0" fontId="4" fillId="24" borderId="0" xfId="84" applyFill="1"/>
    <xf numFmtId="43" fontId="48" fillId="0" borderId="28" xfId="113" applyFont="1" applyFill="1" applyBorder="1"/>
    <xf numFmtId="39" fontId="47" fillId="0" borderId="0" xfId="113" applyNumberFormat="1" applyFont="1"/>
    <xf numFmtId="168" fontId="47" fillId="0" borderId="0" xfId="84" applyNumberFormat="1" applyFont="1"/>
    <xf numFmtId="43" fontId="47" fillId="0" borderId="0" xfId="84" applyNumberFormat="1" applyFont="1" applyAlignment="1">
      <alignment horizontal="right"/>
    </xf>
    <xf numFmtId="9" fontId="47" fillId="0" borderId="0" xfId="84" applyNumberFormat="1" applyFont="1"/>
    <xf numFmtId="0" fontId="4" fillId="0" borderId="0" xfId="84" applyAlignment="1">
      <alignment horizontal="left"/>
    </xf>
    <xf numFmtId="0" fontId="49" fillId="0" borderId="0" xfId="84" applyFont="1" applyAlignment="1">
      <alignment horizontal="left" vertical="top"/>
    </xf>
    <xf numFmtId="0" fontId="49" fillId="28" borderId="29" xfId="84" applyFont="1" applyFill="1" applyBorder="1" applyAlignment="1">
      <alignment vertical="center"/>
    </xf>
    <xf numFmtId="0" fontId="49" fillId="28" borderId="30" xfId="84" applyFont="1" applyFill="1" applyBorder="1" applyAlignment="1">
      <alignment horizontal="right" vertical="center"/>
    </xf>
    <xf numFmtId="0" fontId="49" fillId="28" borderId="29" xfId="84" applyFont="1" applyFill="1" applyBorder="1" applyAlignment="1">
      <alignment horizontal="right" vertical="center"/>
    </xf>
    <xf numFmtId="0" fontId="49" fillId="0" borderId="29" xfId="84" applyFont="1" applyBorder="1" applyAlignment="1">
      <alignment vertical="center"/>
    </xf>
    <xf numFmtId="0" fontId="49" fillId="0" borderId="30" xfId="84" applyFont="1" applyBorder="1" applyAlignment="1">
      <alignment horizontal="right" vertical="center"/>
    </xf>
    <xf numFmtId="0" fontId="49" fillId="0" borderId="29" xfId="84" applyFont="1" applyBorder="1" applyAlignment="1">
      <alignment horizontal="right" vertical="center"/>
    </xf>
    <xf numFmtId="0" fontId="49" fillId="28" borderId="31" xfId="84" applyFont="1" applyFill="1" applyBorder="1" applyAlignment="1">
      <alignment horizontal="center" vertical="center"/>
    </xf>
    <xf numFmtId="0" fontId="49" fillId="0" borderId="31" xfId="84" applyFont="1" applyBorder="1" applyAlignment="1">
      <alignment horizontal="center" vertical="center"/>
    </xf>
    <xf numFmtId="9" fontId="49" fillId="0" borderId="28" xfId="84" applyNumberFormat="1" applyFont="1" applyBorder="1" applyAlignment="1">
      <alignment horizontal="right" vertical="center"/>
    </xf>
    <xf numFmtId="0" fontId="49" fillId="28" borderId="0" xfId="84" applyFont="1" applyFill="1" applyAlignment="1">
      <alignment vertical="center"/>
    </xf>
    <xf numFmtId="0" fontId="49" fillId="0" borderId="0" xfId="84" applyFont="1" applyAlignment="1">
      <alignment vertical="center"/>
    </xf>
    <xf numFmtId="43" fontId="4" fillId="0" borderId="0" xfId="84" applyNumberFormat="1"/>
    <xf numFmtId="0" fontId="47" fillId="0" borderId="0" xfId="84" applyFont="1" applyAlignment="1">
      <alignment horizontal="right"/>
    </xf>
    <xf numFmtId="0" fontId="49" fillId="0" borderId="31" xfId="84" applyFont="1" applyBorder="1" applyAlignment="1">
      <alignment horizontal="center" vertical="center" wrapText="1"/>
    </xf>
    <xf numFmtId="0" fontId="4" fillId="29" borderId="0" xfId="84" applyFill="1"/>
    <xf numFmtId="0" fontId="4" fillId="30" borderId="0" xfId="84" applyFill="1"/>
    <xf numFmtId="0" fontId="1" fillId="0" borderId="0" xfId="156"/>
    <xf numFmtId="0" fontId="37" fillId="0" borderId="0" xfId="0" applyFont="1"/>
    <xf numFmtId="8" fontId="37" fillId="0" borderId="0" xfId="0" applyNumberFormat="1" applyFont="1"/>
    <xf numFmtId="8" fontId="37" fillId="0" borderId="0" xfId="113" applyNumberFormat="1" applyFont="1"/>
    <xf numFmtId="0" fontId="4" fillId="0" borderId="26" xfId="0" applyFont="1" applyBorder="1"/>
    <xf numFmtId="0" fontId="37" fillId="0" borderId="26" xfId="0" applyFont="1" applyBorder="1"/>
    <xf numFmtId="0" fontId="4" fillId="0" borderId="0" xfId="0" quotePrefix="1" applyFont="1"/>
    <xf numFmtId="0" fontId="54" fillId="0" borderId="0" xfId="0" applyFont="1"/>
    <xf numFmtId="172" fontId="37" fillId="0" borderId="0" xfId="121" applyNumberFormat="1" applyFont="1"/>
    <xf numFmtId="0" fontId="37" fillId="0" borderId="0" xfId="0" applyFont="1" applyAlignment="1">
      <alignment vertical="center"/>
    </xf>
    <xf numFmtId="172" fontId="37" fillId="0" borderId="0" xfId="121" applyNumberFormat="1" applyFont="1" applyAlignment="1">
      <alignment vertical="center"/>
    </xf>
    <xf numFmtId="0" fontId="40" fillId="0" borderId="0" xfId="156" applyFont="1" applyAlignment="1">
      <alignment horizontal="left" vertical="center" indent="1"/>
    </xf>
    <xf numFmtId="0" fontId="1" fillId="27" borderId="0" xfId="156" applyFill="1"/>
    <xf numFmtId="0" fontId="40" fillId="27" borderId="0" xfId="156" applyFont="1" applyFill="1" applyAlignment="1">
      <alignment vertical="center"/>
    </xf>
    <xf numFmtId="0" fontId="40" fillId="27" borderId="29" xfId="156" applyFont="1" applyFill="1" applyBorder="1" applyAlignment="1">
      <alignment horizontal="center" vertical="center"/>
    </xf>
    <xf numFmtId="0" fontId="40" fillId="27" borderId="30" xfId="156" applyFont="1" applyFill="1" applyBorder="1" applyAlignment="1">
      <alignment vertical="center"/>
    </xf>
    <xf numFmtId="0" fontId="40" fillId="27" borderId="31" xfId="156" applyFont="1" applyFill="1" applyBorder="1" applyAlignment="1">
      <alignment horizontal="center" vertical="center"/>
    </xf>
    <xf numFmtId="0" fontId="40" fillId="27" borderId="28" xfId="156" applyFont="1" applyFill="1" applyBorder="1" applyAlignment="1">
      <alignment vertical="center"/>
    </xf>
    <xf numFmtId="0" fontId="40" fillId="27" borderId="29" xfId="156" applyFont="1" applyFill="1" applyBorder="1" applyAlignment="1">
      <alignment horizontal="right" vertical="center"/>
    </xf>
    <xf numFmtId="10" fontId="40" fillId="27" borderId="29" xfId="156" applyNumberFormat="1" applyFont="1" applyFill="1" applyBorder="1" applyAlignment="1">
      <alignment horizontal="right" vertical="center"/>
    </xf>
    <xf numFmtId="10" fontId="40" fillId="27" borderId="31" xfId="156" applyNumberFormat="1" applyFont="1" applyFill="1" applyBorder="1" applyAlignment="1">
      <alignment horizontal="right" vertical="center"/>
    </xf>
    <xf numFmtId="0" fontId="40" fillId="27" borderId="0" xfId="156" applyFont="1" applyFill="1" applyAlignment="1">
      <alignment horizontal="left" vertical="center"/>
    </xf>
    <xf numFmtId="0" fontId="45" fillId="27" borderId="0" xfId="156" applyFont="1" applyFill="1"/>
    <xf numFmtId="0" fontId="46" fillId="27" borderId="0" xfId="156" applyFont="1" applyFill="1"/>
  </cellXfs>
  <cellStyles count="157">
    <cellStyle name="=C:\WINDOWS\SYSTEM32\COMMAND.COM" xfId="1" xr:uid="{00000000-0005-0000-0000-000000000000}"/>
    <cellStyle name="=C:\WINDOWS\SYSTEM32\COMMAND.COM 2" xfId="110" xr:uid="{00000000-0005-0000-0000-000001000000}"/>
    <cellStyle name="20% - Accent1" xfId="2" builtinId="30" customBuiltin="1"/>
    <cellStyle name="20% - Accent1 2" xfId="3" xr:uid="{00000000-0005-0000-0000-000003000000}"/>
    <cellStyle name="20% - Accent2" xfId="4" builtinId="34" customBuiltin="1"/>
    <cellStyle name="20% - Accent2 2" xfId="5" xr:uid="{00000000-0005-0000-0000-000005000000}"/>
    <cellStyle name="20% - Accent3" xfId="6" builtinId="38" customBuiltin="1"/>
    <cellStyle name="20% - Accent3 2" xfId="7" xr:uid="{00000000-0005-0000-0000-000007000000}"/>
    <cellStyle name="20% - Accent4" xfId="8" builtinId="42" customBuiltin="1"/>
    <cellStyle name="20% - Accent4 2" xfId="9" xr:uid="{00000000-0005-0000-0000-000009000000}"/>
    <cellStyle name="20% - Accent5" xfId="10" builtinId="46" customBuiltin="1"/>
    <cellStyle name="20% - Accent5 2" xfId="11" xr:uid="{00000000-0005-0000-0000-00000B000000}"/>
    <cellStyle name="20% - Accent6" xfId="12" builtinId="50" customBuiltin="1"/>
    <cellStyle name="20% - Accent6 2" xfId="13" xr:uid="{00000000-0005-0000-0000-00000D000000}"/>
    <cellStyle name="40% - Accent1" xfId="14" builtinId="31" customBuiltin="1"/>
    <cellStyle name="40% - Accent1 2" xfId="15" xr:uid="{00000000-0005-0000-0000-00000F000000}"/>
    <cellStyle name="40% - Accent2" xfId="16" builtinId="35" customBuiltin="1"/>
    <cellStyle name="40% - Accent2 2" xfId="17" xr:uid="{00000000-0005-0000-0000-000011000000}"/>
    <cellStyle name="40% - Accent3" xfId="18" builtinId="39" customBuiltin="1"/>
    <cellStyle name="40% - Accent3 2" xfId="19" xr:uid="{00000000-0005-0000-0000-000013000000}"/>
    <cellStyle name="40% - Accent4" xfId="20" builtinId="43" customBuiltin="1"/>
    <cellStyle name="40% - Accent4 2" xfId="21" xr:uid="{00000000-0005-0000-0000-000015000000}"/>
    <cellStyle name="40% - Accent5" xfId="22" builtinId="47" customBuiltin="1"/>
    <cellStyle name="40% - Accent5 2" xfId="23" xr:uid="{00000000-0005-0000-0000-000017000000}"/>
    <cellStyle name="40% - Accent6" xfId="24" builtinId="51" customBuiltin="1"/>
    <cellStyle name="40% - Accent6 2" xfId="25" xr:uid="{00000000-0005-0000-0000-000019000000}"/>
    <cellStyle name="60% - Accent1" xfId="26" builtinId="32" customBuiltin="1"/>
    <cellStyle name="60% - Accent1 2" xfId="27" xr:uid="{00000000-0005-0000-0000-00001B000000}"/>
    <cellStyle name="60% - Accent2" xfId="28" builtinId="36" customBuiltin="1"/>
    <cellStyle name="60% - Accent2 2" xfId="29" xr:uid="{00000000-0005-0000-0000-00001D000000}"/>
    <cellStyle name="60% - Accent3" xfId="30" builtinId="40" customBuiltin="1"/>
    <cellStyle name="60% - Accent3 2" xfId="31" xr:uid="{00000000-0005-0000-0000-00001F000000}"/>
    <cellStyle name="60% - Accent4" xfId="32" builtinId="44" customBuiltin="1"/>
    <cellStyle name="60% - Accent4 2" xfId="33" xr:uid="{00000000-0005-0000-0000-000021000000}"/>
    <cellStyle name="60% - Accent5" xfId="34" builtinId="48" customBuiltin="1"/>
    <cellStyle name="60% - Accent5 2" xfId="35" xr:uid="{00000000-0005-0000-0000-000023000000}"/>
    <cellStyle name="60% - Accent6" xfId="36" builtinId="52" customBuiltin="1"/>
    <cellStyle name="60% - Accent6 2" xfId="37" xr:uid="{00000000-0005-0000-0000-000025000000}"/>
    <cellStyle name="Accent1" xfId="38" builtinId="29" customBuiltin="1"/>
    <cellStyle name="Accent1 2" xfId="39" xr:uid="{00000000-0005-0000-0000-000027000000}"/>
    <cellStyle name="Accent2" xfId="40" builtinId="33" customBuiltin="1"/>
    <cellStyle name="Accent2 2" xfId="41" xr:uid="{00000000-0005-0000-0000-000029000000}"/>
    <cellStyle name="Accent3" xfId="42" builtinId="37" customBuiltin="1"/>
    <cellStyle name="Accent3 2" xfId="43" xr:uid="{00000000-0005-0000-0000-00002B000000}"/>
    <cellStyle name="Accent4" xfId="44" builtinId="41" customBuiltin="1"/>
    <cellStyle name="Accent4 2" xfId="45" xr:uid="{00000000-0005-0000-0000-00002D000000}"/>
    <cellStyle name="Accent5" xfId="46" builtinId="45" customBuiltin="1"/>
    <cellStyle name="Accent5 2" xfId="47" xr:uid="{00000000-0005-0000-0000-00002F000000}"/>
    <cellStyle name="Accent6" xfId="48" builtinId="49" customBuiltin="1"/>
    <cellStyle name="Accent6 2" xfId="49" xr:uid="{00000000-0005-0000-0000-000031000000}"/>
    <cellStyle name="Bad" xfId="50" builtinId="27" customBuiltin="1"/>
    <cellStyle name="Bad 2" xfId="51" xr:uid="{00000000-0005-0000-0000-000033000000}"/>
    <cellStyle name="Calculation" xfId="52" builtinId="22" customBuiltin="1"/>
    <cellStyle name="Calculation 2" xfId="53" xr:uid="{00000000-0005-0000-0000-000035000000}"/>
    <cellStyle name="Calculation 2 2" xfId="112" xr:uid="{00000000-0005-0000-0000-000036000000}"/>
    <cellStyle name="Calculation 2 3" xfId="135" xr:uid="{00000000-0005-0000-0000-000037000000}"/>
    <cellStyle name="Calculation 3" xfId="111" xr:uid="{00000000-0005-0000-0000-000038000000}"/>
    <cellStyle name="Calculation 4" xfId="134" xr:uid="{00000000-0005-0000-0000-000039000000}"/>
    <cellStyle name="Check Cell" xfId="54" builtinId="23" customBuiltin="1"/>
    <cellStyle name="Check Cell 2" xfId="55" xr:uid="{00000000-0005-0000-0000-00003B000000}"/>
    <cellStyle name="Comma" xfId="152" builtinId="3"/>
    <cellStyle name="Comma 2" xfId="56" xr:uid="{00000000-0005-0000-0000-00003D000000}"/>
    <cellStyle name="Comma 3" xfId="57" xr:uid="{00000000-0005-0000-0000-00003E000000}"/>
    <cellStyle name="Comma 3 2" xfId="113" xr:uid="{00000000-0005-0000-0000-00003F000000}"/>
    <cellStyle name="Comma 4" xfId="58" xr:uid="{00000000-0005-0000-0000-000040000000}"/>
    <cellStyle name="Comma 4 2" xfId="114" xr:uid="{00000000-0005-0000-0000-000041000000}"/>
    <cellStyle name="Comma 5" xfId="59" xr:uid="{00000000-0005-0000-0000-000042000000}"/>
    <cellStyle name="Comma 5 2" xfId="115" xr:uid="{00000000-0005-0000-0000-000043000000}"/>
    <cellStyle name="Comma 6" xfId="60" xr:uid="{00000000-0005-0000-0000-000044000000}"/>
    <cellStyle name="Comma 6 2" xfId="116" xr:uid="{00000000-0005-0000-0000-000045000000}"/>
    <cellStyle name="Comma 7" xfId="61" xr:uid="{00000000-0005-0000-0000-000046000000}"/>
    <cellStyle name="Comma 8" xfId="146" xr:uid="{AB859421-6901-5D45-99B7-2DE6A2E3D64E}"/>
    <cellStyle name="Comma 8 2" xfId="148" xr:uid="{88AF2C39-AC48-6C4B-BF45-80D5EC585331}"/>
    <cellStyle name="Comma 8 3" xfId="150" xr:uid="{51538261-1815-4248-A300-41A3A0EC0C60}"/>
    <cellStyle name="Comma 9" xfId="149" xr:uid="{3E04A3C2-71DC-439E-84A1-B661FBF1A641}"/>
    <cellStyle name="Comma 9 2" xfId="155" xr:uid="{0AC2AD68-D71D-407C-8B90-14F2F48FB4DD}"/>
    <cellStyle name="Currency 2" xfId="62" xr:uid="{00000000-0005-0000-0000-000047000000}"/>
    <cellStyle name="Currency 2 2" xfId="117" xr:uid="{00000000-0005-0000-0000-000048000000}"/>
    <cellStyle name="Currency 3" xfId="63" xr:uid="{00000000-0005-0000-0000-000049000000}"/>
    <cellStyle name="Currency 3 2" xfId="118" xr:uid="{00000000-0005-0000-0000-00004A000000}"/>
    <cellStyle name="Currency 4" xfId="64" xr:uid="{00000000-0005-0000-0000-00004B000000}"/>
    <cellStyle name="Currency 4 2" xfId="119" xr:uid="{00000000-0005-0000-0000-00004C000000}"/>
    <cellStyle name="Currency 5" xfId="125" xr:uid="{00000000-0005-0000-0000-00004D000000}"/>
    <cellStyle name="Explanatory Text" xfId="65" builtinId="53" customBuiltin="1"/>
    <cellStyle name="Explanatory Text 2" xfId="66" xr:uid="{00000000-0005-0000-0000-00004F000000}"/>
    <cellStyle name="Followed Hyperlink" xfId="108" builtinId="9" hidden="1"/>
    <cellStyle name="Followed Hyperlink" xfId="106" builtinId="9" hidden="1"/>
    <cellStyle name="Followed Hyperlink" xfId="104" builtinId="9" hidden="1"/>
    <cellStyle name="Good" xfId="67" builtinId="26" customBuiltin="1"/>
    <cellStyle name="Good 2" xfId="68" xr:uid="{00000000-0005-0000-0000-000054000000}"/>
    <cellStyle name="Heading 1" xfId="69" builtinId="16" customBuiltin="1"/>
    <cellStyle name="Heading 1 2" xfId="70" xr:uid="{00000000-0005-0000-0000-000056000000}"/>
    <cellStyle name="Heading 2" xfId="71" builtinId="17" customBuiltin="1"/>
    <cellStyle name="Heading 2 2" xfId="72" xr:uid="{00000000-0005-0000-0000-000058000000}"/>
    <cellStyle name="Heading 3" xfId="73" builtinId="18" customBuiltin="1"/>
    <cellStyle name="Heading 3 2" xfId="74" xr:uid="{00000000-0005-0000-0000-00005A000000}"/>
    <cellStyle name="Heading 4" xfId="75" builtinId="19" customBuiltin="1"/>
    <cellStyle name="Heading 4 2" xfId="76" xr:uid="{00000000-0005-0000-0000-00005C000000}"/>
    <cellStyle name="Hyperlink" xfId="105" builtinId="8" hidden="1"/>
    <cellStyle name="Hyperlink" xfId="107" builtinId="8" hidden="1"/>
    <cellStyle name="Hyperlink" xfId="103" builtinId="8" hidden="1"/>
    <cellStyle name="Input" xfId="77" builtinId="20" customBuiltin="1"/>
    <cellStyle name="Input 2" xfId="78" xr:uid="{00000000-0005-0000-0000-000061000000}"/>
    <cellStyle name="Input 2 2" xfId="127" xr:uid="{00000000-0005-0000-0000-000062000000}"/>
    <cellStyle name="Input 2 3" xfId="137" xr:uid="{00000000-0005-0000-0000-000063000000}"/>
    <cellStyle name="Input 3" xfId="120" xr:uid="{00000000-0005-0000-0000-000064000000}"/>
    <cellStyle name="Input 4" xfId="136" xr:uid="{00000000-0005-0000-0000-000065000000}"/>
    <cellStyle name="Linked Cell" xfId="79" builtinId="24" customBuiltin="1"/>
    <cellStyle name="Linked Cell 2" xfId="80" xr:uid="{00000000-0005-0000-0000-000067000000}"/>
    <cellStyle name="Neutral" xfId="81" builtinId="28" customBuiltin="1"/>
    <cellStyle name="Neutral 2" xfId="82" xr:uid="{00000000-0005-0000-0000-000069000000}"/>
    <cellStyle name="Normal" xfId="0" builtinId="0"/>
    <cellStyle name="Normal 2" xfId="83" xr:uid="{00000000-0005-0000-0000-00006B000000}"/>
    <cellStyle name="Normal 2 2" xfId="84" xr:uid="{00000000-0005-0000-0000-00006C000000}"/>
    <cellStyle name="Normal 2 3" xfId="156" xr:uid="{ED5B164F-EFB3-4BDF-98BF-8B529D7A2EAF}"/>
    <cellStyle name="Normal 2_AFE201112_LO3_JZH_1_GO_v2" xfId="85" xr:uid="{00000000-0005-0000-0000-00006D000000}"/>
    <cellStyle name="Normal 3" xfId="86" xr:uid="{00000000-0005-0000-0000-00006E000000}"/>
    <cellStyle name="Normal 4" xfId="87" xr:uid="{00000000-0005-0000-0000-00006F000000}"/>
    <cellStyle name="Normal 5" xfId="109" xr:uid="{00000000-0005-0000-0000-000070000000}"/>
    <cellStyle name="Normal 5 2" xfId="144" xr:uid="{00000000-0005-0000-0000-000071000000}"/>
    <cellStyle name="Normal 6" xfId="147" xr:uid="{1FB156EB-0258-E14C-AE28-CE9C1F590204}"/>
    <cellStyle name="Normal 7" xfId="154" xr:uid="{FC417BE4-FC5E-4064-86A0-2717332BC4E7}"/>
    <cellStyle name="Note" xfId="88" builtinId="10" customBuiltin="1"/>
    <cellStyle name="Note 2" xfId="89" xr:uid="{00000000-0005-0000-0000-000073000000}"/>
    <cellStyle name="Note 2 2" xfId="129" xr:uid="{00000000-0005-0000-0000-000074000000}"/>
    <cellStyle name="Note 2 3" xfId="139" xr:uid="{00000000-0005-0000-0000-000075000000}"/>
    <cellStyle name="Note 3" xfId="128" xr:uid="{00000000-0005-0000-0000-000076000000}"/>
    <cellStyle name="Note 4" xfId="138" xr:uid="{00000000-0005-0000-0000-000077000000}"/>
    <cellStyle name="Output" xfId="90" builtinId="21" customBuiltin="1"/>
    <cellStyle name="Output 2" xfId="91" xr:uid="{00000000-0005-0000-0000-000079000000}"/>
    <cellStyle name="Output 2 2" xfId="131" xr:uid="{00000000-0005-0000-0000-00007A000000}"/>
    <cellStyle name="Output 2 3" xfId="141" xr:uid="{00000000-0005-0000-0000-00007B000000}"/>
    <cellStyle name="Output 3" xfId="130" xr:uid="{00000000-0005-0000-0000-00007C000000}"/>
    <cellStyle name="Output 4" xfId="140" xr:uid="{00000000-0005-0000-0000-00007D000000}"/>
    <cellStyle name="Percent" xfId="153" builtinId="5"/>
    <cellStyle name="Percent 2" xfId="92" xr:uid="{00000000-0005-0000-0000-00007F000000}"/>
    <cellStyle name="Percent 3" xfId="93" xr:uid="{00000000-0005-0000-0000-000080000000}"/>
    <cellStyle name="Percent 3 2" xfId="121" xr:uid="{00000000-0005-0000-0000-000081000000}"/>
    <cellStyle name="Percent 4" xfId="94" xr:uid="{00000000-0005-0000-0000-000082000000}"/>
    <cellStyle name="Percent 4 2" xfId="122" xr:uid="{00000000-0005-0000-0000-000083000000}"/>
    <cellStyle name="Percent 5" xfId="95" xr:uid="{00000000-0005-0000-0000-000084000000}"/>
    <cellStyle name="Percent 5 2" xfId="123" xr:uid="{00000000-0005-0000-0000-000085000000}"/>
    <cellStyle name="Percent 6" xfId="96" xr:uid="{00000000-0005-0000-0000-000086000000}"/>
    <cellStyle name="Percent 6 2" xfId="124" xr:uid="{00000000-0005-0000-0000-000087000000}"/>
    <cellStyle name="Percent 7" xfId="126" xr:uid="{00000000-0005-0000-0000-000088000000}"/>
    <cellStyle name="Percent 7 2" xfId="145" xr:uid="{FCA4AD0F-050F-3344-9742-0F6318E9057D}"/>
    <cellStyle name="Percent 8" xfId="151" xr:uid="{FF0D174C-F4BC-4491-A980-1F0AF8EC0F09}"/>
    <cellStyle name="Title" xfId="97" builtinId="15" customBuiltin="1"/>
    <cellStyle name="Title 2" xfId="98" xr:uid="{00000000-0005-0000-0000-00008A000000}"/>
    <cellStyle name="Total" xfId="99" builtinId="25" customBuiltin="1"/>
    <cellStyle name="Total 2" xfId="100" xr:uid="{00000000-0005-0000-0000-00008C000000}"/>
    <cellStyle name="Total 2 2" xfId="133" xr:uid="{00000000-0005-0000-0000-00008D000000}"/>
    <cellStyle name="Total 2 3" xfId="143" xr:uid="{00000000-0005-0000-0000-00008E000000}"/>
    <cellStyle name="Total 3" xfId="132" xr:uid="{00000000-0005-0000-0000-00008F000000}"/>
    <cellStyle name="Total 4" xfId="142" xr:uid="{00000000-0005-0000-0000-000090000000}"/>
    <cellStyle name="Warning Text" xfId="101" builtinId="11" customBuiltin="1"/>
    <cellStyle name="Warning Text 2" xfId="102" xr:uid="{00000000-0005-0000-0000-000092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23F64-B13A-4357-8460-768864AABCD1}">
  <dimension ref="A1:U71"/>
  <sheetViews>
    <sheetView showGridLines="0" workbookViewId="0">
      <selection activeCell="I35" sqref="I35"/>
    </sheetView>
  </sheetViews>
  <sheetFormatPr defaultRowHeight="13.2" x14ac:dyDescent="0.25"/>
  <cols>
    <col min="2" max="2" width="11.109375" customWidth="1"/>
    <col min="3" max="3" width="9.44140625" customWidth="1"/>
    <col min="4" max="4" width="10" customWidth="1"/>
    <col min="5" max="5" width="10.88671875" customWidth="1"/>
    <col min="6" max="6" width="10" customWidth="1"/>
    <col min="9" max="9" width="10.109375" bestFit="1" customWidth="1"/>
    <col min="10" max="10" width="11.33203125" bestFit="1" customWidth="1"/>
    <col min="11" max="11" width="11.33203125" customWidth="1"/>
    <col min="12" max="13" width="12.6640625" bestFit="1" customWidth="1"/>
    <col min="14" max="14" width="9.109375" bestFit="1" customWidth="1"/>
    <col min="15" max="15" width="10.109375" customWidth="1"/>
    <col min="16" max="16" width="11.109375" bestFit="1" customWidth="1"/>
    <col min="17" max="17" width="15" customWidth="1"/>
    <col min="18" max="19" width="10.44140625" customWidth="1"/>
    <col min="20" max="20" width="14.88671875" customWidth="1"/>
  </cols>
  <sheetData>
    <row r="1" spans="1:21" s="3" customFormat="1" x14ac:dyDescent="0.25">
      <c r="A1" s="2"/>
    </row>
    <row r="2" spans="1:21" s="3" customFormat="1" ht="16.8" x14ac:dyDescent="0.3">
      <c r="A2" s="16" t="s">
        <v>37</v>
      </c>
      <c r="B2" s="2"/>
      <c r="C2" s="2"/>
      <c r="D2" s="3" t="s">
        <v>0</v>
      </c>
      <c r="F2" s="4">
        <f>1000000</f>
        <v>1000000</v>
      </c>
      <c r="G2" s="5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21" s="3" customFormat="1" ht="16.8" x14ac:dyDescent="0.3">
      <c r="A3" s="16"/>
      <c r="B3" s="2"/>
      <c r="C3" s="2"/>
      <c r="F3" s="17"/>
      <c r="G3" s="5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21" s="3" customFormat="1" ht="16.8" x14ac:dyDescent="0.3">
      <c r="A4" s="16"/>
      <c r="B4" s="2"/>
      <c r="C4" s="2"/>
      <c r="F4" s="17"/>
      <c r="G4" s="5"/>
      <c r="I4" s="10"/>
      <c r="J4" s="10"/>
      <c r="K4" s="10"/>
      <c r="L4" s="10"/>
      <c r="M4" s="10"/>
      <c r="N4" s="10"/>
      <c r="O4" s="10"/>
      <c r="P4" s="10"/>
      <c r="Q4" s="10"/>
      <c r="R4" s="9"/>
      <c r="S4" s="10"/>
      <c r="T4" s="35"/>
      <c r="U4" s="2"/>
    </row>
    <row r="5" spans="1:21" s="3" customFormat="1" ht="16.8" x14ac:dyDescent="0.3">
      <c r="A5" s="16"/>
      <c r="B5" s="2"/>
      <c r="C5" s="2"/>
      <c r="F5" s="17"/>
      <c r="G5" s="5"/>
      <c r="I5" s="6"/>
      <c r="J5" s="6"/>
      <c r="K5" s="6"/>
      <c r="L5" s="6"/>
      <c r="M5" s="6"/>
      <c r="N5" s="6"/>
      <c r="O5" s="6"/>
      <c r="P5" s="6"/>
      <c r="Q5" s="38"/>
      <c r="R5" s="6"/>
      <c r="S5" s="6"/>
      <c r="T5" s="35"/>
      <c r="U5" s="67"/>
    </row>
    <row r="6" spans="1:21" s="3" customFormat="1" ht="16.8" x14ac:dyDescent="0.3">
      <c r="A6" s="16" t="s">
        <v>40</v>
      </c>
      <c r="B6" s="2"/>
      <c r="C6" s="2"/>
      <c r="F6" s="17"/>
      <c r="G6" s="5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1:21" s="3" customFormat="1" x14ac:dyDescent="0.25">
      <c r="A7" s="7" t="s">
        <v>2</v>
      </c>
      <c r="B7" s="8"/>
      <c r="C7" s="8"/>
      <c r="D7" s="8" t="s">
        <v>3</v>
      </c>
      <c r="E7" s="8" t="s">
        <v>3</v>
      </c>
      <c r="F7" s="8"/>
      <c r="G7" s="8" t="s">
        <v>34</v>
      </c>
      <c r="H7" s="8" t="s">
        <v>35</v>
      </c>
      <c r="I7" s="20"/>
      <c r="J7" s="20" t="s">
        <v>5</v>
      </c>
      <c r="K7" s="20" t="s">
        <v>18</v>
      </c>
      <c r="L7" s="20" t="s">
        <v>6</v>
      </c>
      <c r="M7" s="20" t="s">
        <v>7</v>
      </c>
      <c r="N7" s="20"/>
      <c r="O7" s="20"/>
      <c r="P7" s="20" t="s">
        <v>8</v>
      </c>
      <c r="Q7" s="20" t="s">
        <v>5</v>
      </c>
      <c r="R7" s="20"/>
      <c r="S7" s="20"/>
      <c r="T7" s="21" t="s">
        <v>5</v>
      </c>
    </row>
    <row r="8" spans="1:21" s="3" customFormat="1" x14ac:dyDescent="0.25">
      <c r="A8" s="8" t="s">
        <v>10</v>
      </c>
      <c r="B8" s="8"/>
      <c r="C8" s="8" t="s">
        <v>33</v>
      </c>
      <c r="D8" s="8" t="s">
        <v>32</v>
      </c>
      <c r="E8" s="8" t="s">
        <v>11</v>
      </c>
      <c r="F8" s="8" t="s">
        <v>12</v>
      </c>
      <c r="G8" s="8" t="s">
        <v>13</v>
      </c>
      <c r="H8" s="8" t="s">
        <v>14</v>
      </c>
      <c r="I8" s="20" t="s">
        <v>15</v>
      </c>
      <c r="J8" s="20" t="s">
        <v>17</v>
      </c>
      <c r="K8" s="20" t="s">
        <v>27</v>
      </c>
      <c r="L8" s="20" t="s">
        <v>18</v>
      </c>
      <c r="M8" s="20" t="s">
        <v>19</v>
      </c>
      <c r="N8" s="20" t="s">
        <v>11</v>
      </c>
      <c r="O8" s="20" t="s">
        <v>13</v>
      </c>
      <c r="P8" s="20" t="s">
        <v>20</v>
      </c>
      <c r="Q8" s="20" t="s">
        <v>16</v>
      </c>
      <c r="R8" s="20" t="s">
        <v>21</v>
      </c>
      <c r="S8" s="20" t="s">
        <v>44</v>
      </c>
      <c r="T8" s="21" t="s">
        <v>16</v>
      </c>
    </row>
    <row r="9" spans="1:21" s="3" customFormat="1" x14ac:dyDescent="0.25">
      <c r="A9" s="8" t="s">
        <v>20</v>
      </c>
      <c r="B9" s="8" t="s">
        <v>22</v>
      </c>
      <c r="C9" s="8" t="s">
        <v>28</v>
      </c>
      <c r="D9" s="8" t="s">
        <v>28</v>
      </c>
      <c r="E9" s="8" t="s">
        <v>23</v>
      </c>
      <c r="F9" s="8" t="s">
        <v>23</v>
      </c>
      <c r="G9" s="8" t="s">
        <v>23</v>
      </c>
      <c r="H9" s="8" t="s">
        <v>24</v>
      </c>
      <c r="I9" s="20" t="s">
        <v>25</v>
      </c>
      <c r="J9" s="20" t="s">
        <v>22</v>
      </c>
      <c r="K9" s="20"/>
      <c r="L9" s="20" t="s">
        <v>27</v>
      </c>
      <c r="M9" s="20" t="s">
        <v>29</v>
      </c>
      <c r="N9" s="20" t="s">
        <v>26</v>
      </c>
      <c r="O9" s="20" t="s">
        <v>12</v>
      </c>
      <c r="P9" s="20" t="s">
        <v>30</v>
      </c>
      <c r="Q9" s="20" t="s">
        <v>39</v>
      </c>
      <c r="R9" s="20" t="s">
        <v>31</v>
      </c>
      <c r="S9" s="20" t="s">
        <v>45</v>
      </c>
      <c r="T9" s="21" t="s">
        <v>39</v>
      </c>
    </row>
    <row r="10" spans="1:21" s="3" customFormat="1" x14ac:dyDescent="0.25">
      <c r="A10" s="8"/>
      <c r="B10" s="8"/>
      <c r="C10" s="8"/>
      <c r="D10" s="33" t="s">
        <v>47</v>
      </c>
      <c r="E10" s="8"/>
      <c r="F10" s="8"/>
      <c r="G10" s="8"/>
      <c r="H10" s="8"/>
      <c r="I10" s="20"/>
      <c r="J10" s="20"/>
      <c r="K10" s="20"/>
      <c r="L10" s="20"/>
      <c r="M10" s="20"/>
      <c r="N10" s="20"/>
      <c r="O10" s="20"/>
      <c r="P10" s="20"/>
      <c r="Q10" s="20" t="s">
        <v>36</v>
      </c>
      <c r="R10" s="20"/>
      <c r="S10" s="31">
        <v>1</v>
      </c>
      <c r="T10" s="21" t="s">
        <v>38</v>
      </c>
    </row>
    <row r="11" spans="1:21" s="3" customFormat="1" x14ac:dyDescent="0.25">
      <c r="A11" s="3">
        <f>1</f>
        <v>1</v>
      </c>
      <c r="B11" s="15">
        <f>60*$F$2/1000</f>
        <v>60000</v>
      </c>
      <c r="C11" s="5">
        <v>2.2499999999999999E-2</v>
      </c>
      <c r="D11" s="18">
        <v>30</v>
      </c>
      <c r="E11" s="11">
        <v>3.2000000000000002E-3</v>
      </c>
      <c r="F11" s="5">
        <v>0.05</v>
      </c>
      <c r="G11" s="12">
        <v>0.03</v>
      </c>
      <c r="H11" s="3">
        <f>0</f>
        <v>0</v>
      </c>
      <c r="I11" s="28">
        <f>B11*C11+D11*$F$2/1000</f>
        <v>31350</v>
      </c>
      <c r="J11" s="24">
        <f>SUM(B$11:B11)</f>
        <v>60000</v>
      </c>
      <c r="K11" s="24">
        <f>$F$2+J11</f>
        <v>1060000</v>
      </c>
      <c r="L11" s="23">
        <f>K11/(1+G11)</f>
        <v>1029126.213592233</v>
      </c>
      <c r="M11" s="23">
        <f>L11-(P11+B11-I11)</f>
        <v>1000476.213592233</v>
      </c>
      <c r="N11" s="23">
        <f t="shared" ref="N11:N20" si="0">M11*E11</f>
        <v>3201.523883495146</v>
      </c>
      <c r="O11" s="23">
        <f>F11*(P11+B11-I11-N11)</f>
        <v>1272.4238058252429</v>
      </c>
      <c r="P11" s="23">
        <f>0</f>
        <v>0</v>
      </c>
      <c r="Q11" s="23">
        <f>(P11+B11-I11-N11+O11)</f>
        <v>26720.899922330096</v>
      </c>
      <c r="R11" s="25">
        <f>15%</f>
        <v>0.15</v>
      </c>
      <c r="S11" s="32">
        <f>S10*(1-R11)</f>
        <v>0.85</v>
      </c>
      <c r="T11" s="26">
        <f>Q11*S11</f>
        <v>22712.764933980579</v>
      </c>
    </row>
    <row r="12" spans="1:21" s="3" customFormat="1" x14ac:dyDescent="0.25">
      <c r="A12" s="3">
        <f>A11+1</f>
        <v>2</v>
      </c>
      <c r="B12" s="15">
        <f t="shared" ref="B12:B20" si="1">60*$F$2/1000</f>
        <v>60000</v>
      </c>
      <c r="C12" s="5">
        <v>2.2499999999999999E-2</v>
      </c>
      <c r="D12" s="18">
        <v>20</v>
      </c>
      <c r="E12" s="11">
        <v>4.1799999999999997E-3</v>
      </c>
      <c r="F12" s="5">
        <v>0.05</v>
      </c>
      <c r="G12" s="12">
        <v>0.03</v>
      </c>
      <c r="H12" s="3">
        <f>0</f>
        <v>0</v>
      </c>
      <c r="I12" s="28">
        <f t="shared" ref="I12:I20" si="2">B12*C12+D12*$F$2/1000</f>
        <v>21350</v>
      </c>
      <c r="J12" s="24">
        <f>SUM(B$11:B12)</f>
        <v>120000</v>
      </c>
      <c r="K12" s="24">
        <f t="shared" ref="K12:K20" si="3">$F$2+J12</f>
        <v>1120000</v>
      </c>
      <c r="L12" s="23">
        <f t="shared" ref="L12:L20" si="4">K12/(1+G12)</f>
        <v>1087378.6407766989</v>
      </c>
      <c r="M12" s="23">
        <f>L12-(P12+B12-I12)</f>
        <v>1022007.7408543689</v>
      </c>
      <c r="N12" s="23">
        <f t="shared" si="0"/>
        <v>4271.9923567712613</v>
      </c>
      <c r="O12" s="23">
        <f t="shared" ref="O12:O20" si="5">F12*(P12+B12-I12-N12)</f>
        <v>3054.9453782779419</v>
      </c>
      <c r="P12" s="23">
        <f t="shared" ref="P12:P20" si="6">Q11</f>
        <v>26720.899922330096</v>
      </c>
      <c r="Q12" s="68">
        <f t="shared" ref="Q12:Q20" si="7">(P12+B12-I12-N12+O12)</f>
        <v>64153.85294383677</v>
      </c>
      <c r="R12" s="25">
        <f>10%</f>
        <v>0.1</v>
      </c>
      <c r="S12" s="32">
        <f t="shared" ref="S12:S20" si="8">S11*(1-R12)</f>
        <v>0.76500000000000001</v>
      </c>
      <c r="T12" s="34">
        <f t="shared" ref="T12:T20" si="9">Q12*S12</f>
        <v>49077.697502035131</v>
      </c>
    </row>
    <row r="13" spans="1:21" s="3" customFormat="1" x14ac:dyDescent="0.25">
      <c r="A13" s="3">
        <f t="shared" ref="A13:A20" si="10">A12+1</f>
        <v>3</v>
      </c>
      <c r="B13" s="15">
        <f t="shared" si="1"/>
        <v>60000</v>
      </c>
      <c r="C13" s="5">
        <v>2.2499999999999999E-2</v>
      </c>
      <c r="D13" s="18">
        <v>20</v>
      </c>
      <c r="E13" s="11">
        <v>5.1480000000000007E-3</v>
      </c>
      <c r="F13" s="5">
        <v>0.05</v>
      </c>
      <c r="G13" s="12">
        <v>0.03</v>
      </c>
      <c r="H13" s="3">
        <f>0</f>
        <v>0</v>
      </c>
      <c r="I13" s="28">
        <f t="shared" si="2"/>
        <v>21350</v>
      </c>
      <c r="J13" s="24">
        <f>SUM(B$11:B13)</f>
        <v>180000</v>
      </c>
      <c r="K13" s="24">
        <f t="shared" si="3"/>
        <v>1180000</v>
      </c>
      <c r="L13" s="23">
        <f t="shared" si="4"/>
        <v>1145631.067961165</v>
      </c>
      <c r="M13" s="23">
        <f t="shared" ref="M13:M20" si="11">L13-(P13+B13-I13)</f>
        <v>1042827.2150173283</v>
      </c>
      <c r="N13" s="23">
        <f t="shared" si="0"/>
        <v>5368.4745029092064</v>
      </c>
      <c r="O13" s="23">
        <f t="shared" si="5"/>
        <v>4871.768922046379</v>
      </c>
      <c r="P13" s="23">
        <f t="shared" si="6"/>
        <v>64153.85294383677</v>
      </c>
      <c r="Q13" s="23">
        <f t="shared" si="7"/>
        <v>102307.14736297395</v>
      </c>
      <c r="R13" s="25">
        <f>10%</f>
        <v>0.1</v>
      </c>
      <c r="S13" s="32">
        <f t="shared" si="8"/>
        <v>0.6885</v>
      </c>
      <c r="T13" s="26">
        <f t="shared" si="9"/>
        <v>70438.470959407568</v>
      </c>
    </row>
    <row r="14" spans="1:21" s="3" customFormat="1" x14ac:dyDescent="0.25">
      <c r="A14" s="3">
        <f t="shared" si="10"/>
        <v>4</v>
      </c>
      <c r="B14" s="15">
        <f t="shared" si="1"/>
        <v>60000</v>
      </c>
      <c r="C14" s="5">
        <v>2.2499999999999999E-2</v>
      </c>
      <c r="D14" s="18">
        <v>20</v>
      </c>
      <c r="E14" s="11">
        <v>5.8139999999999997E-3</v>
      </c>
      <c r="F14" s="5">
        <v>0.05</v>
      </c>
      <c r="G14" s="12">
        <v>0.03</v>
      </c>
      <c r="H14" s="3">
        <f>0</f>
        <v>0</v>
      </c>
      <c r="I14" s="28">
        <f t="shared" si="2"/>
        <v>21350</v>
      </c>
      <c r="J14" s="24">
        <f>SUM(B$11:B14)</f>
        <v>240000</v>
      </c>
      <c r="K14" s="24">
        <f t="shared" si="3"/>
        <v>1240000</v>
      </c>
      <c r="L14" s="23">
        <f t="shared" si="4"/>
        <v>1203883.495145631</v>
      </c>
      <c r="M14" s="23">
        <f t="shared" si="11"/>
        <v>1062926.347782657</v>
      </c>
      <c r="N14" s="23">
        <f t="shared" si="0"/>
        <v>6179.8537860083679</v>
      </c>
      <c r="O14" s="23">
        <f t="shared" si="5"/>
        <v>6738.8646788482793</v>
      </c>
      <c r="P14" s="23">
        <f t="shared" si="6"/>
        <v>102307.14736297395</v>
      </c>
      <c r="Q14" s="23">
        <f t="shared" si="7"/>
        <v>141516.15825581385</v>
      </c>
      <c r="R14" s="25">
        <f>10%</f>
        <v>0.1</v>
      </c>
      <c r="S14" s="32">
        <f t="shared" si="8"/>
        <v>0.61965000000000003</v>
      </c>
      <c r="T14" s="26">
        <f t="shared" si="9"/>
        <v>87690.48746321506</v>
      </c>
    </row>
    <row r="15" spans="1:21" s="3" customFormat="1" x14ac:dyDescent="0.25">
      <c r="A15" s="3">
        <f t="shared" si="10"/>
        <v>5</v>
      </c>
      <c r="B15" s="15">
        <f t="shared" si="1"/>
        <v>60000</v>
      </c>
      <c r="C15" s="5">
        <v>2.2499999999999999E-2</v>
      </c>
      <c r="D15" s="18">
        <v>20</v>
      </c>
      <c r="E15" s="11">
        <v>6.2080000000000008E-3</v>
      </c>
      <c r="F15" s="5">
        <v>0.05</v>
      </c>
      <c r="G15" s="12">
        <v>0.03</v>
      </c>
      <c r="H15" s="3">
        <f>0</f>
        <v>0</v>
      </c>
      <c r="I15" s="28">
        <f t="shared" si="2"/>
        <v>21350</v>
      </c>
      <c r="J15" s="24">
        <f>SUM(B$11:B15)</f>
        <v>300000</v>
      </c>
      <c r="K15" s="24">
        <f t="shared" si="3"/>
        <v>1300000</v>
      </c>
      <c r="L15" s="23">
        <f t="shared" si="4"/>
        <v>1262135.9223300971</v>
      </c>
      <c r="M15" s="23">
        <f t="shared" si="11"/>
        <v>1081969.7640742832</v>
      </c>
      <c r="N15" s="23">
        <f t="shared" si="0"/>
        <v>6716.8682953731513</v>
      </c>
      <c r="O15" s="23">
        <f t="shared" si="5"/>
        <v>8672.4644980220346</v>
      </c>
      <c r="P15" s="23">
        <f t="shared" si="6"/>
        <v>141516.15825581385</v>
      </c>
      <c r="Q15" s="23">
        <f t="shared" si="7"/>
        <v>182121.75445846273</v>
      </c>
      <c r="R15" s="25">
        <f>10%</f>
        <v>0.1</v>
      </c>
      <c r="S15" s="32">
        <f t="shared" si="8"/>
        <v>0.5576850000000001</v>
      </c>
      <c r="T15" s="26">
        <f t="shared" si="9"/>
        <v>101566.57063516781</v>
      </c>
    </row>
    <row r="16" spans="1:21" s="3" customFormat="1" x14ac:dyDescent="0.25">
      <c r="A16" s="3">
        <f t="shared" si="10"/>
        <v>6</v>
      </c>
      <c r="B16" s="15">
        <f t="shared" si="1"/>
        <v>60000</v>
      </c>
      <c r="C16" s="5">
        <v>2.2499999999999999E-2</v>
      </c>
      <c r="D16" s="18">
        <v>10</v>
      </c>
      <c r="E16" s="11">
        <v>6.0000000000000001E-3</v>
      </c>
      <c r="F16" s="5">
        <v>0.05</v>
      </c>
      <c r="G16" s="12">
        <v>0.03</v>
      </c>
      <c r="H16" s="3">
        <f>0</f>
        <v>0</v>
      </c>
      <c r="I16" s="28">
        <f t="shared" si="2"/>
        <v>11350</v>
      </c>
      <c r="J16" s="24">
        <f>SUM(B$11:B16)</f>
        <v>360000</v>
      </c>
      <c r="K16" s="24">
        <f t="shared" si="3"/>
        <v>1360000</v>
      </c>
      <c r="L16" s="23">
        <f t="shared" si="4"/>
        <v>1320388.3495145631</v>
      </c>
      <c r="M16" s="23">
        <f t="shared" si="11"/>
        <v>1089616.5950561003</v>
      </c>
      <c r="N16" s="23">
        <f t="shared" si="0"/>
        <v>6537.6995703366019</v>
      </c>
      <c r="O16" s="23">
        <f t="shared" si="5"/>
        <v>11211.702744406306</v>
      </c>
      <c r="P16" s="23">
        <f t="shared" si="6"/>
        <v>182121.75445846273</v>
      </c>
      <c r="Q16" s="23">
        <f t="shared" si="7"/>
        <v>235445.75763253242</v>
      </c>
      <c r="R16" s="25">
        <f>0.05</f>
        <v>0.05</v>
      </c>
      <c r="S16" s="32">
        <f t="shared" si="8"/>
        <v>0.52980075000000004</v>
      </c>
      <c r="T16" s="26">
        <f t="shared" si="9"/>
        <v>124739.33897803391</v>
      </c>
    </row>
    <row r="17" spans="1:20" s="3" customFormat="1" x14ac:dyDescent="0.25">
      <c r="A17" s="3">
        <f t="shared" si="10"/>
        <v>7</v>
      </c>
      <c r="B17" s="15">
        <f t="shared" si="1"/>
        <v>60000</v>
      </c>
      <c r="C17" s="5">
        <v>2.2499999999999999E-2</v>
      </c>
      <c r="D17" s="18">
        <v>10</v>
      </c>
      <c r="E17" s="11">
        <v>5.6699999999999997E-3</v>
      </c>
      <c r="F17" s="5">
        <v>0.05</v>
      </c>
      <c r="G17" s="12">
        <v>0.03</v>
      </c>
      <c r="H17" s="3">
        <f>0</f>
        <v>0</v>
      </c>
      <c r="I17" s="28">
        <f t="shared" si="2"/>
        <v>11350</v>
      </c>
      <c r="J17" s="24">
        <f>SUM(B$11:B17)</f>
        <v>420000</v>
      </c>
      <c r="K17" s="24">
        <f t="shared" si="3"/>
        <v>1420000</v>
      </c>
      <c r="L17" s="23">
        <f t="shared" si="4"/>
        <v>1378640.7766990291</v>
      </c>
      <c r="M17" s="23">
        <f t="shared" si="11"/>
        <v>1094545.0190664968</v>
      </c>
      <c r="N17" s="23">
        <f t="shared" si="0"/>
        <v>6206.0702581070364</v>
      </c>
      <c r="O17" s="23">
        <f t="shared" si="5"/>
        <v>13894.484368721269</v>
      </c>
      <c r="P17" s="23">
        <f t="shared" si="6"/>
        <v>235445.75763253242</v>
      </c>
      <c r="Q17" s="23">
        <f t="shared" si="7"/>
        <v>291784.17174314661</v>
      </c>
      <c r="R17" s="25">
        <f>0.05</f>
        <v>0.05</v>
      </c>
      <c r="S17" s="32">
        <f t="shared" si="8"/>
        <v>0.50331071250000003</v>
      </c>
      <c r="T17" s="26">
        <f t="shared" si="9"/>
        <v>146858.09937626548</v>
      </c>
    </row>
    <row r="18" spans="1:20" s="3" customFormat="1" x14ac:dyDescent="0.25">
      <c r="A18" s="3">
        <f t="shared" si="10"/>
        <v>8</v>
      </c>
      <c r="B18" s="15">
        <f t="shared" si="1"/>
        <v>60000</v>
      </c>
      <c r="C18" s="5">
        <v>2.2499999999999999E-2</v>
      </c>
      <c r="D18" s="18">
        <v>10</v>
      </c>
      <c r="E18" s="11">
        <v>5.1479999999999989E-3</v>
      </c>
      <c r="F18" s="5">
        <v>0.05</v>
      </c>
      <c r="G18" s="12">
        <v>0.03</v>
      </c>
      <c r="H18" s="3">
        <f>0</f>
        <v>0</v>
      </c>
      <c r="I18" s="28">
        <f t="shared" si="2"/>
        <v>11350</v>
      </c>
      <c r="J18" s="24">
        <f>SUM(B$11:B18)</f>
        <v>480000</v>
      </c>
      <c r="K18" s="24">
        <f t="shared" si="3"/>
        <v>1480000</v>
      </c>
      <c r="L18" s="23">
        <f t="shared" si="4"/>
        <v>1436893.2038834952</v>
      </c>
      <c r="M18" s="23">
        <f t="shared" si="11"/>
        <v>1096459.0321403486</v>
      </c>
      <c r="N18" s="23">
        <f t="shared" si="0"/>
        <v>5644.5710974585136</v>
      </c>
      <c r="O18" s="23">
        <f t="shared" si="5"/>
        <v>16739.480032284406</v>
      </c>
      <c r="P18" s="23">
        <f t="shared" si="6"/>
        <v>291784.17174314661</v>
      </c>
      <c r="Q18" s="23">
        <f t="shared" si="7"/>
        <v>351529.08067797247</v>
      </c>
      <c r="R18" s="25">
        <f>0.05</f>
        <v>0.05</v>
      </c>
      <c r="S18" s="32">
        <f t="shared" si="8"/>
        <v>0.47814517687500002</v>
      </c>
      <c r="T18" s="26">
        <f t="shared" si="9"/>
        <v>168081.93445747529</v>
      </c>
    </row>
    <row r="19" spans="1:20" s="3" customFormat="1" x14ac:dyDescent="0.25">
      <c r="A19" s="3">
        <f t="shared" si="10"/>
        <v>9</v>
      </c>
      <c r="B19" s="15">
        <f t="shared" si="1"/>
        <v>60000</v>
      </c>
      <c r="C19" s="5">
        <v>2.2499999999999999E-2</v>
      </c>
      <c r="D19" s="18">
        <v>10</v>
      </c>
      <c r="E19" s="11">
        <v>4.4759999999999999E-3</v>
      </c>
      <c r="F19" s="5">
        <v>0.05</v>
      </c>
      <c r="G19" s="12">
        <v>0.03</v>
      </c>
      <c r="H19" s="3">
        <f>0</f>
        <v>0</v>
      </c>
      <c r="I19" s="28">
        <f t="shared" si="2"/>
        <v>11350</v>
      </c>
      <c r="J19" s="24">
        <f>SUM(B$11:B19)</f>
        <v>540000</v>
      </c>
      <c r="K19" s="24">
        <f t="shared" si="3"/>
        <v>1540000</v>
      </c>
      <c r="L19" s="23">
        <f t="shared" si="4"/>
        <v>1495145.6310679612</v>
      </c>
      <c r="M19" s="23">
        <f t="shared" si="11"/>
        <v>1094966.5503899888</v>
      </c>
      <c r="N19" s="23">
        <f t="shared" si="0"/>
        <v>4901.07027954559</v>
      </c>
      <c r="O19" s="23">
        <f t="shared" si="5"/>
        <v>19763.900519921342</v>
      </c>
      <c r="P19" s="23">
        <f t="shared" si="6"/>
        <v>351529.08067797247</v>
      </c>
      <c r="Q19" s="23">
        <f t="shared" si="7"/>
        <v>415041.91091834818</v>
      </c>
      <c r="R19" s="25">
        <f>0.05</f>
        <v>0.05</v>
      </c>
      <c r="S19" s="32">
        <f t="shared" si="8"/>
        <v>0.45423791803125002</v>
      </c>
      <c r="T19" s="26">
        <f t="shared" si="9"/>
        <v>188527.773511262</v>
      </c>
    </row>
    <row r="20" spans="1:20" s="3" customFormat="1" x14ac:dyDescent="0.25">
      <c r="A20" s="3">
        <f t="shared" si="10"/>
        <v>10</v>
      </c>
      <c r="B20" s="15">
        <f t="shared" si="1"/>
        <v>60000</v>
      </c>
      <c r="C20" s="5">
        <v>2.2499999999999999E-2</v>
      </c>
      <c r="D20" s="18">
        <v>10</v>
      </c>
      <c r="E20" s="11">
        <v>3.7950000000000002E-3</v>
      </c>
      <c r="F20" s="5">
        <v>0.05</v>
      </c>
      <c r="G20" s="12">
        <v>0.03</v>
      </c>
      <c r="H20" s="5">
        <v>7.4999999999999997E-2</v>
      </c>
      <c r="I20" s="28">
        <f t="shared" si="2"/>
        <v>11350</v>
      </c>
      <c r="J20" s="24">
        <f>SUM(B$11:B20)</f>
        <v>600000</v>
      </c>
      <c r="K20" s="24">
        <f t="shared" si="3"/>
        <v>1600000</v>
      </c>
      <c r="L20" s="23">
        <f t="shared" si="4"/>
        <v>1553398.058252427</v>
      </c>
      <c r="M20" s="23">
        <f t="shared" si="11"/>
        <v>1089706.1473340788</v>
      </c>
      <c r="N20" s="23">
        <f t="shared" si="0"/>
        <v>4135.4348291328288</v>
      </c>
      <c r="O20" s="23">
        <f t="shared" si="5"/>
        <v>22977.823804460771</v>
      </c>
      <c r="P20" s="23">
        <f t="shared" si="6"/>
        <v>415041.91091834818</v>
      </c>
      <c r="Q20" s="23">
        <f t="shared" si="7"/>
        <v>482534.29989367613</v>
      </c>
      <c r="R20" s="25">
        <v>1</v>
      </c>
      <c r="S20" s="32">
        <f t="shared" si="8"/>
        <v>0</v>
      </c>
      <c r="T20" s="26">
        <f t="shared" si="9"/>
        <v>0</v>
      </c>
    </row>
    <row r="23" spans="1:20" ht="16.8" x14ac:dyDescent="0.3">
      <c r="A23" s="16" t="s">
        <v>46</v>
      </c>
      <c r="B23" s="2"/>
      <c r="C23" s="2"/>
      <c r="D23" s="3"/>
      <c r="E23" s="3"/>
      <c r="F23" s="17"/>
      <c r="G23" s="5"/>
      <c r="H23" s="3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3"/>
    </row>
    <row r="24" spans="1:20" x14ac:dyDescent="0.25">
      <c r="A24" s="7" t="s">
        <v>2</v>
      </c>
      <c r="B24" s="8"/>
      <c r="C24" s="8"/>
      <c r="D24" s="8" t="s">
        <v>3</v>
      </c>
      <c r="E24" s="8" t="s">
        <v>3</v>
      </c>
      <c r="F24" s="8"/>
      <c r="G24" s="8" t="s">
        <v>34</v>
      </c>
      <c r="H24" s="8" t="s">
        <v>35</v>
      </c>
      <c r="I24" s="20"/>
      <c r="J24" s="20" t="s">
        <v>5</v>
      </c>
      <c r="K24" s="20" t="s">
        <v>18</v>
      </c>
      <c r="L24" s="20" t="s">
        <v>6</v>
      </c>
      <c r="M24" s="20" t="s">
        <v>7</v>
      </c>
      <c r="N24" s="20"/>
      <c r="O24" s="20"/>
      <c r="P24" s="20" t="s">
        <v>8</v>
      </c>
      <c r="Q24" s="20" t="s">
        <v>5</v>
      </c>
      <c r="R24" s="20"/>
      <c r="S24" s="20"/>
      <c r="T24" s="21" t="s">
        <v>5</v>
      </c>
    </row>
    <row r="25" spans="1:20" x14ac:dyDescent="0.25">
      <c r="A25" s="8" t="s">
        <v>10</v>
      </c>
      <c r="B25" s="8"/>
      <c r="C25" s="8" t="s">
        <v>33</v>
      </c>
      <c r="D25" s="8" t="s">
        <v>32</v>
      </c>
      <c r="E25" s="8" t="s">
        <v>11</v>
      </c>
      <c r="F25" s="8" t="s">
        <v>12</v>
      </c>
      <c r="G25" s="8" t="s">
        <v>13</v>
      </c>
      <c r="H25" s="8" t="s">
        <v>14</v>
      </c>
      <c r="I25" s="20" t="s">
        <v>15</v>
      </c>
      <c r="J25" s="20" t="s">
        <v>17</v>
      </c>
      <c r="K25" s="20" t="s">
        <v>27</v>
      </c>
      <c r="L25" s="20" t="s">
        <v>18</v>
      </c>
      <c r="M25" s="20" t="s">
        <v>19</v>
      </c>
      <c r="N25" s="20" t="s">
        <v>11</v>
      </c>
      <c r="O25" s="20" t="s">
        <v>13</v>
      </c>
      <c r="P25" s="20" t="s">
        <v>20</v>
      </c>
      <c r="Q25" s="20" t="s">
        <v>16</v>
      </c>
      <c r="R25" s="20" t="s">
        <v>21</v>
      </c>
      <c r="S25" s="20" t="s">
        <v>44</v>
      </c>
      <c r="T25" s="21" t="s">
        <v>16</v>
      </c>
    </row>
    <row r="26" spans="1:20" x14ac:dyDescent="0.25">
      <c r="A26" s="8" t="s">
        <v>20</v>
      </c>
      <c r="B26" s="8" t="s">
        <v>22</v>
      </c>
      <c r="C26" s="8" t="s">
        <v>28</v>
      </c>
      <c r="D26" s="8" t="s">
        <v>28</v>
      </c>
      <c r="E26" s="8" t="s">
        <v>23</v>
      </c>
      <c r="F26" s="8" t="s">
        <v>23</v>
      </c>
      <c r="G26" s="8" t="s">
        <v>23</v>
      </c>
      <c r="H26" s="8" t="s">
        <v>24</v>
      </c>
      <c r="I26" s="20" t="s">
        <v>25</v>
      </c>
      <c r="J26" s="20" t="s">
        <v>22</v>
      </c>
      <c r="K26" s="20"/>
      <c r="L26" s="20" t="s">
        <v>27</v>
      </c>
      <c r="M26" s="20" t="s">
        <v>29</v>
      </c>
      <c r="N26" s="20" t="s">
        <v>26</v>
      </c>
      <c r="O26" s="20" t="s">
        <v>12</v>
      </c>
      <c r="P26" s="20" t="s">
        <v>30</v>
      </c>
      <c r="Q26" s="20" t="s">
        <v>39</v>
      </c>
      <c r="R26" s="20" t="s">
        <v>31</v>
      </c>
      <c r="S26" s="20" t="s">
        <v>45</v>
      </c>
      <c r="T26" s="21" t="s">
        <v>39</v>
      </c>
    </row>
    <row r="27" spans="1:20" x14ac:dyDescent="0.25">
      <c r="A27" s="8"/>
      <c r="B27" s="33" t="s">
        <v>47</v>
      </c>
      <c r="C27" s="8"/>
      <c r="D27" s="33" t="s">
        <v>47</v>
      </c>
      <c r="E27" s="8"/>
      <c r="F27" s="8"/>
      <c r="G27" s="8"/>
      <c r="H27" s="8"/>
      <c r="I27" s="20"/>
      <c r="J27" s="20"/>
      <c r="K27" s="20"/>
      <c r="L27" s="20"/>
      <c r="M27" s="20"/>
      <c r="N27" s="20"/>
      <c r="O27" s="20"/>
      <c r="P27" s="20"/>
      <c r="Q27" s="20" t="s">
        <v>36</v>
      </c>
      <c r="R27" s="20"/>
      <c r="S27" s="29">
        <v>1000</v>
      </c>
      <c r="T27" s="21" t="s">
        <v>38</v>
      </c>
    </row>
    <row r="28" spans="1:20" x14ac:dyDescent="0.25">
      <c r="A28" s="3">
        <f>1</f>
        <v>1</v>
      </c>
      <c r="B28" s="13">
        <v>60</v>
      </c>
      <c r="C28" s="5">
        <v>2.2499999999999999E-2</v>
      </c>
      <c r="D28" s="19">
        <v>30</v>
      </c>
      <c r="E28" s="11">
        <v>3.2000000000000002E-3</v>
      </c>
      <c r="F28" s="5">
        <v>0.05</v>
      </c>
      <c r="G28" s="12">
        <v>0.03</v>
      </c>
      <c r="H28" s="3">
        <f>0</f>
        <v>0</v>
      </c>
      <c r="I28" s="22">
        <f>B28*C28+D28</f>
        <v>31.35</v>
      </c>
      <c r="J28" s="23">
        <f>SUM(B$28:B28)</f>
        <v>60</v>
      </c>
      <c r="K28" s="24">
        <f>1000+J28</f>
        <v>1060</v>
      </c>
      <c r="L28" s="23">
        <f>K28/(1+G28)</f>
        <v>1029.1262135922329</v>
      </c>
      <c r="M28" s="23">
        <f t="shared" ref="M28:M37" si="12">L28-(P28+B28-I28)</f>
        <v>1000.476213592233</v>
      </c>
      <c r="N28" s="23">
        <f t="shared" ref="N28:N37" si="13">M28*E28</f>
        <v>3.2015238834951458</v>
      </c>
      <c r="O28" s="23">
        <f t="shared" ref="O28:O37" si="14">F28*(P28+B28-I28-N28)</f>
        <v>1.2724238058252428</v>
      </c>
      <c r="P28" s="23">
        <f>0</f>
        <v>0</v>
      </c>
      <c r="Q28" s="23">
        <f>(P28+B28-I28-N28+O28)</f>
        <v>26.720899922330098</v>
      </c>
      <c r="R28" s="25">
        <f>15%</f>
        <v>0.15</v>
      </c>
      <c r="S28" s="26">
        <f>S27*(1-R28)</f>
        <v>850</v>
      </c>
      <c r="T28" s="26">
        <f>S28*Q28</f>
        <v>22712.764933980583</v>
      </c>
    </row>
    <row r="29" spans="1:20" x14ac:dyDescent="0.25">
      <c r="A29" s="3">
        <f>A28+1</f>
        <v>2</v>
      </c>
      <c r="B29" s="13">
        <v>60</v>
      </c>
      <c r="C29" s="5">
        <v>2.2499999999999999E-2</v>
      </c>
      <c r="D29" s="19">
        <v>20</v>
      </c>
      <c r="E29" s="11">
        <v>4.1799999999999997E-3</v>
      </c>
      <c r="F29" s="5">
        <v>0.05</v>
      </c>
      <c r="G29" s="12">
        <v>0.03</v>
      </c>
      <c r="H29" s="3">
        <f>0</f>
        <v>0</v>
      </c>
      <c r="I29" s="22">
        <f t="shared" ref="I29:I37" si="15">B29*C29+D29</f>
        <v>21.35</v>
      </c>
      <c r="J29" s="23">
        <f>SUM(B$28:B29)</f>
        <v>120</v>
      </c>
      <c r="K29" s="24">
        <f t="shared" ref="K29:K37" si="16">1000+J29</f>
        <v>1120</v>
      </c>
      <c r="L29" s="23">
        <f t="shared" ref="L29:L37" si="17">K29/(1+G29)</f>
        <v>1087.3786407766991</v>
      </c>
      <c r="M29" s="23">
        <f t="shared" si="12"/>
        <v>1022.007740854369</v>
      </c>
      <c r="N29" s="23">
        <f t="shared" si="13"/>
        <v>4.2719923567712623</v>
      </c>
      <c r="O29" s="23">
        <f t="shared" si="14"/>
        <v>3.0549453782779419</v>
      </c>
      <c r="P29" s="23">
        <f t="shared" ref="P29:P37" si="18">Q28</f>
        <v>26.720899922330098</v>
      </c>
      <c r="Q29" s="68">
        <f t="shared" ref="Q29:Q37" si="19">(P29+B29-I29-N29+O29)</f>
        <v>64.153852943836768</v>
      </c>
      <c r="R29" s="25">
        <f>10%</f>
        <v>0.1</v>
      </c>
      <c r="S29" s="26">
        <f t="shared" ref="S29:S37" si="20">S28*(1-R29)</f>
        <v>765</v>
      </c>
      <c r="T29" s="34">
        <f t="shared" ref="T29:T37" si="21">S29*Q29</f>
        <v>49077.697502035124</v>
      </c>
    </row>
    <row r="30" spans="1:20" x14ac:dyDescent="0.25">
      <c r="A30" s="3">
        <f t="shared" ref="A30:A37" si="22">A29+1</f>
        <v>3</v>
      </c>
      <c r="B30" s="13">
        <v>60</v>
      </c>
      <c r="C30" s="5">
        <v>2.2499999999999999E-2</v>
      </c>
      <c r="D30" s="19">
        <v>20</v>
      </c>
      <c r="E30" s="11">
        <v>5.1480000000000007E-3</v>
      </c>
      <c r="F30" s="5">
        <v>0.05</v>
      </c>
      <c r="G30" s="12">
        <v>0.03</v>
      </c>
      <c r="H30" s="3">
        <f>0</f>
        <v>0</v>
      </c>
      <c r="I30" s="22">
        <f t="shared" si="15"/>
        <v>21.35</v>
      </c>
      <c r="J30" s="23">
        <f>SUM(B$28:B30)</f>
        <v>180</v>
      </c>
      <c r="K30" s="24">
        <f t="shared" si="16"/>
        <v>1180</v>
      </c>
      <c r="L30" s="23">
        <f t="shared" si="17"/>
        <v>1145.6310679611649</v>
      </c>
      <c r="M30" s="23">
        <f t="shared" si="12"/>
        <v>1042.8272150173282</v>
      </c>
      <c r="N30" s="23">
        <f t="shared" si="13"/>
        <v>5.3684745029092058</v>
      </c>
      <c r="O30" s="23">
        <f t="shared" si="14"/>
        <v>4.8717689220463782</v>
      </c>
      <c r="P30" s="23">
        <f t="shared" si="18"/>
        <v>64.153852943836768</v>
      </c>
      <c r="Q30" s="23">
        <f t="shared" si="19"/>
        <v>102.30714736297395</v>
      </c>
      <c r="R30" s="25">
        <f>10%</f>
        <v>0.1</v>
      </c>
      <c r="S30" s="26">
        <f t="shared" si="20"/>
        <v>688.5</v>
      </c>
      <c r="T30" s="26">
        <f t="shared" si="21"/>
        <v>70438.470959407568</v>
      </c>
    </row>
    <row r="31" spans="1:20" x14ac:dyDescent="0.25">
      <c r="A31" s="3">
        <f t="shared" si="22"/>
        <v>4</v>
      </c>
      <c r="B31" s="13">
        <v>60</v>
      </c>
      <c r="C31" s="5">
        <v>2.2499999999999999E-2</v>
      </c>
      <c r="D31" s="19">
        <v>20</v>
      </c>
      <c r="E31" s="11">
        <v>5.8139999999999997E-3</v>
      </c>
      <c r="F31" s="5">
        <v>0.05</v>
      </c>
      <c r="G31" s="12">
        <v>0.03</v>
      </c>
      <c r="H31" s="3">
        <f>0</f>
        <v>0</v>
      </c>
      <c r="I31" s="22">
        <f t="shared" si="15"/>
        <v>21.35</v>
      </c>
      <c r="J31" s="23">
        <f>SUM(B$28:B31)</f>
        <v>240</v>
      </c>
      <c r="K31" s="24">
        <f t="shared" si="16"/>
        <v>1240</v>
      </c>
      <c r="L31" s="23">
        <f t="shared" si="17"/>
        <v>1203.8834951456311</v>
      </c>
      <c r="M31" s="23">
        <f t="shared" si="12"/>
        <v>1062.9263477826571</v>
      </c>
      <c r="N31" s="23">
        <f t="shared" si="13"/>
        <v>6.1798537860083682</v>
      </c>
      <c r="O31" s="23">
        <f t="shared" si="14"/>
        <v>6.7388646788482793</v>
      </c>
      <c r="P31" s="23">
        <f t="shared" si="18"/>
        <v>102.30714736297395</v>
      </c>
      <c r="Q31" s="23">
        <f t="shared" si="19"/>
        <v>141.51615825581385</v>
      </c>
      <c r="R31" s="25">
        <f>10%</f>
        <v>0.1</v>
      </c>
      <c r="S31" s="26">
        <f t="shared" si="20"/>
        <v>619.65</v>
      </c>
      <c r="T31" s="26">
        <f t="shared" si="21"/>
        <v>87690.487463215046</v>
      </c>
    </row>
    <row r="32" spans="1:20" x14ac:dyDescent="0.25">
      <c r="A32" s="3">
        <f t="shared" si="22"/>
        <v>5</v>
      </c>
      <c r="B32" s="13">
        <v>60</v>
      </c>
      <c r="C32" s="5">
        <v>2.2499999999999999E-2</v>
      </c>
      <c r="D32" s="19">
        <v>20</v>
      </c>
      <c r="E32" s="11">
        <v>6.2080000000000008E-3</v>
      </c>
      <c r="F32" s="5">
        <v>0.05</v>
      </c>
      <c r="G32" s="12">
        <v>0.03</v>
      </c>
      <c r="H32" s="3">
        <f>0</f>
        <v>0</v>
      </c>
      <c r="I32" s="22">
        <f t="shared" si="15"/>
        <v>21.35</v>
      </c>
      <c r="J32" s="23">
        <f>SUM(B$28:B32)</f>
        <v>300</v>
      </c>
      <c r="K32" s="24">
        <f t="shared" si="16"/>
        <v>1300</v>
      </c>
      <c r="L32" s="23">
        <f t="shared" si="17"/>
        <v>1262.1359223300969</v>
      </c>
      <c r="M32" s="23">
        <f t="shared" si="12"/>
        <v>1081.9697640742831</v>
      </c>
      <c r="N32" s="23">
        <f t="shared" si="13"/>
        <v>6.7168682953731507</v>
      </c>
      <c r="O32" s="23">
        <f t="shared" si="14"/>
        <v>8.6724644980220358</v>
      </c>
      <c r="P32" s="23">
        <f t="shared" si="18"/>
        <v>141.51615825581385</v>
      </c>
      <c r="Q32" s="23">
        <f t="shared" si="19"/>
        <v>182.12175445846273</v>
      </c>
      <c r="R32" s="25">
        <f>10%</f>
        <v>0.1</v>
      </c>
      <c r="S32" s="26">
        <f t="shared" si="20"/>
        <v>557.68499999999995</v>
      </c>
      <c r="T32" s="26">
        <f t="shared" si="21"/>
        <v>101566.57063516778</v>
      </c>
    </row>
    <row r="33" spans="1:20" x14ac:dyDescent="0.25">
      <c r="A33" s="3">
        <f t="shared" si="22"/>
        <v>6</v>
      </c>
      <c r="B33" s="13">
        <v>60</v>
      </c>
      <c r="C33" s="5">
        <v>2.2499999999999999E-2</v>
      </c>
      <c r="D33" s="19">
        <v>10</v>
      </c>
      <c r="E33" s="11">
        <v>6.0000000000000001E-3</v>
      </c>
      <c r="F33" s="5">
        <v>0.05</v>
      </c>
      <c r="G33" s="12">
        <v>0.03</v>
      </c>
      <c r="H33" s="3">
        <f>0</f>
        <v>0</v>
      </c>
      <c r="I33" s="22">
        <f t="shared" si="15"/>
        <v>11.35</v>
      </c>
      <c r="J33" s="23">
        <f>SUM(B$28:B33)</f>
        <v>360</v>
      </c>
      <c r="K33" s="24">
        <f t="shared" si="16"/>
        <v>1360</v>
      </c>
      <c r="L33" s="23">
        <f t="shared" si="17"/>
        <v>1320.3883495145631</v>
      </c>
      <c r="M33" s="23">
        <f t="shared" si="12"/>
        <v>1089.6165950561003</v>
      </c>
      <c r="N33" s="23">
        <f t="shared" si="13"/>
        <v>6.5376995703366019</v>
      </c>
      <c r="O33" s="23">
        <f t="shared" si="14"/>
        <v>11.211702744406308</v>
      </c>
      <c r="P33" s="23">
        <f t="shared" si="18"/>
        <v>182.12175445846273</v>
      </c>
      <c r="Q33" s="23">
        <f t="shared" si="19"/>
        <v>235.44575763253243</v>
      </c>
      <c r="R33" s="25">
        <f>0.05</f>
        <v>0.05</v>
      </c>
      <c r="S33" s="26">
        <f t="shared" si="20"/>
        <v>529.80074999999988</v>
      </c>
      <c r="T33" s="26">
        <f t="shared" si="21"/>
        <v>124739.33897803388</v>
      </c>
    </row>
    <row r="34" spans="1:20" x14ac:dyDescent="0.25">
      <c r="A34" s="3">
        <f t="shared" si="22"/>
        <v>7</v>
      </c>
      <c r="B34" s="13">
        <v>60</v>
      </c>
      <c r="C34" s="5">
        <v>2.2499999999999999E-2</v>
      </c>
      <c r="D34" s="19">
        <v>10</v>
      </c>
      <c r="E34" s="11">
        <v>5.6699999999999997E-3</v>
      </c>
      <c r="F34" s="5">
        <v>0.05</v>
      </c>
      <c r="G34" s="12">
        <v>0.03</v>
      </c>
      <c r="H34" s="3">
        <f>0</f>
        <v>0</v>
      </c>
      <c r="I34" s="22">
        <f t="shared" si="15"/>
        <v>11.35</v>
      </c>
      <c r="J34" s="23">
        <f>SUM(B$28:B34)</f>
        <v>420</v>
      </c>
      <c r="K34" s="24">
        <f t="shared" si="16"/>
        <v>1420</v>
      </c>
      <c r="L34" s="23">
        <f t="shared" si="17"/>
        <v>1378.6407766990292</v>
      </c>
      <c r="M34" s="23">
        <f t="shared" si="12"/>
        <v>1094.5450190664967</v>
      </c>
      <c r="N34" s="23">
        <f t="shared" si="13"/>
        <v>6.2060702581070357</v>
      </c>
      <c r="O34" s="23">
        <f t="shared" si="14"/>
        <v>13.894484368721269</v>
      </c>
      <c r="P34" s="23">
        <f t="shared" si="18"/>
        <v>235.44575763253243</v>
      </c>
      <c r="Q34" s="23">
        <f t="shared" si="19"/>
        <v>291.78417174314666</v>
      </c>
      <c r="R34" s="25">
        <f>0.05</f>
        <v>0.05</v>
      </c>
      <c r="S34" s="26">
        <f t="shared" si="20"/>
        <v>503.31071249999985</v>
      </c>
      <c r="T34" s="26">
        <f t="shared" si="21"/>
        <v>146858.09937626545</v>
      </c>
    </row>
    <row r="35" spans="1:20" x14ac:dyDescent="0.25">
      <c r="A35" s="3">
        <f t="shared" si="22"/>
        <v>8</v>
      </c>
      <c r="B35" s="13">
        <v>60</v>
      </c>
      <c r="C35" s="5">
        <v>2.2499999999999999E-2</v>
      </c>
      <c r="D35" s="19">
        <v>10</v>
      </c>
      <c r="E35" s="11">
        <v>5.1479999999999989E-3</v>
      </c>
      <c r="F35" s="5">
        <v>0.05</v>
      </c>
      <c r="G35" s="12">
        <v>0.03</v>
      </c>
      <c r="H35" s="3">
        <f>0</f>
        <v>0</v>
      </c>
      <c r="I35" s="22">
        <f t="shared" si="15"/>
        <v>11.35</v>
      </c>
      <c r="J35" s="23">
        <f>SUM(B$28:B35)</f>
        <v>480</v>
      </c>
      <c r="K35" s="24">
        <f t="shared" si="16"/>
        <v>1480</v>
      </c>
      <c r="L35" s="23">
        <f t="shared" si="17"/>
        <v>1436.8932038834951</v>
      </c>
      <c r="M35" s="23">
        <f t="shared" si="12"/>
        <v>1096.4590321403484</v>
      </c>
      <c r="N35" s="23">
        <f t="shared" si="13"/>
        <v>5.6445710974585124</v>
      </c>
      <c r="O35" s="23">
        <f t="shared" si="14"/>
        <v>16.739480032284405</v>
      </c>
      <c r="P35" s="23">
        <f t="shared" si="18"/>
        <v>291.78417174314666</v>
      </c>
      <c r="Q35" s="23">
        <f t="shared" si="19"/>
        <v>351.5290806779725</v>
      </c>
      <c r="R35" s="25">
        <f>0.05</f>
        <v>0.05</v>
      </c>
      <c r="S35" s="26">
        <f t="shared" si="20"/>
        <v>478.14517687499983</v>
      </c>
      <c r="T35" s="26">
        <f t="shared" si="21"/>
        <v>168081.93445747526</v>
      </c>
    </row>
    <row r="36" spans="1:20" x14ac:dyDescent="0.25">
      <c r="A36" s="3">
        <f t="shared" si="22"/>
        <v>9</v>
      </c>
      <c r="B36" s="13">
        <v>60</v>
      </c>
      <c r="C36" s="5">
        <v>2.2499999999999999E-2</v>
      </c>
      <c r="D36" s="19">
        <v>10</v>
      </c>
      <c r="E36" s="11">
        <v>4.4759999999999999E-3</v>
      </c>
      <c r="F36" s="5">
        <v>0.05</v>
      </c>
      <c r="G36" s="12">
        <v>0.03</v>
      </c>
      <c r="H36" s="3">
        <f>0</f>
        <v>0</v>
      </c>
      <c r="I36" s="22">
        <f t="shared" si="15"/>
        <v>11.35</v>
      </c>
      <c r="J36" s="23">
        <f>SUM(B$28:B36)</f>
        <v>540</v>
      </c>
      <c r="K36" s="24">
        <f t="shared" si="16"/>
        <v>1540</v>
      </c>
      <c r="L36" s="23">
        <f t="shared" si="17"/>
        <v>1495.1456310679612</v>
      </c>
      <c r="M36" s="23">
        <f t="shared" si="12"/>
        <v>1094.9665503899887</v>
      </c>
      <c r="N36" s="23">
        <f t="shared" si="13"/>
        <v>4.9010702795455892</v>
      </c>
      <c r="O36" s="23">
        <f t="shared" si="14"/>
        <v>19.763900519921346</v>
      </c>
      <c r="P36" s="23">
        <f t="shared" si="18"/>
        <v>351.5290806779725</v>
      </c>
      <c r="Q36" s="23">
        <f t="shared" si="19"/>
        <v>415.04191091834821</v>
      </c>
      <c r="R36" s="25">
        <f>0.05</f>
        <v>0.05</v>
      </c>
      <c r="S36" s="26">
        <f t="shared" si="20"/>
        <v>454.23791803124982</v>
      </c>
      <c r="T36" s="26">
        <f t="shared" si="21"/>
        <v>188527.77351126194</v>
      </c>
    </row>
    <row r="37" spans="1:20" x14ac:dyDescent="0.25">
      <c r="A37" s="3">
        <f t="shared" si="22"/>
        <v>10</v>
      </c>
      <c r="B37" s="13">
        <v>60</v>
      </c>
      <c r="C37" s="5">
        <v>2.2499999999999999E-2</v>
      </c>
      <c r="D37" s="19">
        <v>10</v>
      </c>
      <c r="E37" s="11">
        <v>3.7950000000000002E-3</v>
      </c>
      <c r="F37" s="5">
        <v>0.05</v>
      </c>
      <c r="G37" s="12">
        <v>0.03</v>
      </c>
      <c r="H37" s="5">
        <v>7.4999999999999997E-2</v>
      </c>
      <c r="I37" s="22">
        <f t="shared" si="15"/>
        <v>11.35</v>
      </c>
      <c r="J37" s="23">
        <f>SUM(B$28:B37)</f>
        <v>600</v>
      </c>
      <c r="K37" s="24">
        <f t="shared" si="16"/>
        <v>1600</v>
      </c>
      <c r="L37" s="23">
        <f t="shared" si="17"/>
        <v>1553.3980582524271</v>
      </c>
      <c r="M37" s="23">
        <f t="shared" si="12"/>
        <v>1089.7061473340789</v>
      </c>
      <c r="N37" s="23">
        <f t="shared" si="13"/>
        <v>4.1354348291328291</v>
      </c>
      <c r="O37" s="23">
        <f t="shared" si="14"/>
        <v>22.977823804460769</v>
      </c>
      <c r="P37" s="23">
        <f t="shared" si="18"/>
        <v>415.04191091834821</v>
      </c>
      <c r="Q37" s="23">
        <f t="shared" si="19"/>
        <v>482.53429989367612</v>
      </c>
      <c r="R37" s="25">
        <v>1</v>
      </c>
      <c r="S37" s="26">
        <f t="shared" si="20"/>
        <v>0</v>
      </c>
      <c r="T37" s="26">
        <f t="shared" si="21"/>
        <v>0</v>
      </c>
    </row>
    <row r="40" spans="1:20" s="3" customFormat="1" ht="16.8" x14ac:dyDescent="0.3">
      <c r="A40" s="16" t="s">
        <v>41</v>
      </c>
      <c r="B40" s="2"/>
      <c r="C40" s="2"/>
      <c r="F40" s="17"/>
      <c r="G40" s="5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</row>
    <row r="41" spans="1:20" s="3" customFormat="1" x14ac:dyDescent="0.25">
      <c r="A41" s="7" t="s">
        <v>2</v>
      </c>
      <c r="B41" s="8"/>
      <c r="C41" s="8"/>
      <c r="D41" s="8" t="s">
        <v>3</v>
      </c>
      <c r="E41" s="8" t="s">
        <v>3</v>
      </c>
      <c r="F41" s="8"/>
      <c r="G41" s="8" t="s">
        <v>34</v>
      </c>
      <c r="H41" s="8" t="s">
        <v>35</v>
      </c>
      <c r="I41" s="20"/>
      <c r="J41" s="20" t="s">
        <v>5</v>
      </c>
      <c r="K41" s="20" t="s">
        <v>18</v>
      </c>
      <c r="L41" s="20" t="s">
        <v>6</v>
      </c>
      <c r="M41" s="20" t="s">
        <v>7</v>
      </c>
      <c r="N41" s="20"/>
      <c r="O41" s="20"/>
      <c r="P41" s="20" t="s">
        <v>8</v>
      </c>
      <c r="Q41" s="20" t="s">
        <v>5</v>
      </c>
      <c r="R41" s="20"/>
      <c r="S41" s="20"/>
      <c r="T41" s="21" t="s">
        <v>5</v>
      </c>
    </row>
    <row r="42" spans="1:20" s="3" customFormat="1" x14ac:dyDescent="0.25">
      <c r="A42" s="8" t="s">
        <v>10</v>
      </c>
      <c r="B42" s="8"/>
      <c r="C42" s="8" t="s">
        <v>33</v>
      </c>
      <c r="D42" s="8" t="s">
        <v>32</v>
      </c>
      <c r="E42" s="8" t="s">
        <v>11</v>
      </c>
      <c r="F42" s="8" t="s">
        <v>12</v>
      </c>
      <c r="G42" s="8" t="s">
        <v>13</v>
      </c>
      <c r="H42" s="8" t="s">
        <v>14</v>
      </c>
      <c r="I42" s="20" t="s">
        <v>15</v>
      </c>
      <c r="J42" s="20" t="s">
        <v>17</v>
      </c>
      <c r="K42" s="20" t="s">
        <v>27</v>
      </c>
      <c r="L42" s="20" t="s">
        <v>18</v>
      </c>
      <c r="M42" s="20" t="s">
        <v>19</v>
      </c>
      <c r="N42" s="20" t="s">
        <v>11</v>
      </c>
      <c r="O42" s="20" t="s">
        <v>13</v>
      </c>
      <c r="P42" s="20" t="s">
        <v>20</v>
      </c>
      <c r="Q42" s="20" t="s">
        <v>16</v>
      </c>
      <c r="R42" s="20" t="s">
        <v>21</v>
      </c>
      <c r="S42" s="20" t="s">
        <v>44</v>
      </c>
      <c r="T42" s="21" t="s">
        <v>16</v>
      </c>
    </row>
    <row r="43" spans="1:20" s="3" customFormat="1" x14ac:dyDescent="0.25">
      <c r="A43" s="8" t="s">
        <v>20</v>
      </c>
      <c r="B43" s="8" t="s">
        <v>22</v>
      </c>
      <c r="C43" s="8" t="s">
        <v>28</v>
      </c>
      <c r="D43" s="8" t="s">
        <v>28</v>
      </c>
      <c r="E43" s="8" t="s">
        <v>23</v>
      </c>
      <c r="F43" s="8" t="s">
        <v>23</v>
      </c>
      <c r="G43" s="8" t="s">
        <v>23</v>
      </c>
      <c r="H43" s="8" t="s">
        <v>24</v>
      </c>
      <c r="I43" s="20" t="s">
        <v>25</v>
      </c>
      <c r="J43" s="20" t="s">
        <v>22</v>
      </c>
      <c r="K43" s="20"/>
      <c r="L43" s="20" t="s">
        <v>27</v>
      </c>
      <c r="M43" s="20" t="s">
        <v>29</v>
      </c>
      <c r="N43" s="20" t="s">
        <v>26</v>
      </c>
      <c r="O43" s="20" t="s">
        <v>12</v>
      </c>
      <c r="P43" s="20" t="s">
        <v>30</v>
      </c>
      <c r="Q43" s="20" t="s">
        <v>39</v>
      </c>
      <c r="R43" s="20" t="s">
        <v>31</v>
      </c>
      <c r="S43" s="20" t="s">
        <v>45</v>
      </c>
      <c r="T43" s="21" t="s">
        <v>39</v>
      </c>
    </row>
    <row r="44" spans="1:20" s="3" customFormat="1" x14ac:dyDescent="0.25">
      <c r="A44" s="8"/>
      <c r="B44" s="8"/>
      <c r="C44" s="8"/>
      <c r="D44" s="33" t="s">
        <v>47</v>
      </c>
      <c r="E44" s="8"/>
      <c r="F44" s="8"/>
      <c r="G44" s="8"/>
      <c r="H44" s="8"/>
      <c r="I44" s="20"/>
      <c r="J44" s="20"/>
      <c r="K44" s="20"/>
      <c r="L44" s="20"/>
      <c r="M44" s="20"/>
      <c r="N44" s="20"/>
      <c r="O44" s="20"/>
      <c r="P44" s="20"/>
      <c r="Q44" s="20" t="s">
        <v>36</v>
      </c>
      <c r="R44" s="20"/>
      <c r="S44" s="30">
        <v>1</v>
      </c>
      <c r="T44" s="21" t="s">
        <v>38</v>
      </c>
    </row>
    <row r="45" spans="1:20" s="3" customFormat="1" x14ac:dyDescent="0.25">
      <c r="A45" s="3">
        <f>1</f>
        <v>1</v>
      </c>
      <c r="B45" s="15">
        <f>60*$F$2/1000</f>
        <v>60000</v>
      </c>
      <c r="C45" s="5">
        <v>2.2499999999999999E-2</v>
      </c>
      <c r="D45" s="18">
        <v>30</v>
      </c>
      <c r="E45" s="11">
        <v>3.2000000000000002E-3</v>
      </c>
      <c r="F45" s="5">
        <v>0.05</v>
      </c>
      <c r="G45" s="12">
        <v>0.03</v>
      </c>
      <c r="H45" s="3">
        <f>0</f>
        <v>0</v>
      </c>
      <c r="I45" s="28">
        <f>B45*C45+D45*$F$2/1000</f>
        <v>31350</v>
      </c>
      <c r="J45" s="24">
        <f>B45*(1+F45)</f>
        <v>63000</v>
      </c>
      <c r="K45" s="24">
        <f>$F$2+J45</f>
        <v>1063000</v>
      </c>
      <c r="L45" s="23">
        <f>K45/(1+G45)</f>
        <v>1032038.8349514563</v>
      </c>
      <c r="M45" s="23">
        <f t="shared" ref="M45:M54" si="23">L45-(P45+B45-I45)</f>
        <v>1003388.8349514563</v>
      </c>
      <c r="N45" s="23">
        <f t="shared" ref="N45:N54" si="24">M45*E45</f>
        <v>3210.8442718446604</v>
      </c>
      <c r="O45" s="23">
        <f t="shared" ref="O45:O54" si="25">F45*(P45+B45-I45-N45)</f>
        <v>1271.9577864077671</v>
      </c>
      <c r="P45" s="23">
        <f>0</f>
        <v>0</v>
      </c>
      <c r="Q45" s="23">
        <f>(P45+B45-I45-N45+O45)</f>
        <v>26711.113514563105</v>
      </c>
      <c r="R45" s="25">
        <f>15%</f>
        <v>0.15</v>
      </c>
      <c r="S45" s="30">
        <f>S44*(1-R45)</f>
        <v>0.85</v>
      </c>
      <c r="T45" s="26">
        <f>Q45*S45</f>
        <v>22704.446487378638</v>
      </c>
    </row>
    <row r="46" spans="1:20" s="3" customFormat="1" x14ac:dyDescent="0.25">
      <c r="A46" s="3">
        <f>A45+1</f>
        <v>2</v>
      </c>
      <c r="B46" s="15">
        <f t="shared" ref="B46:B54" si="26">60*$F$2/1000</f>
        <v>60000</v>
      </c>
      <c r="C46" s="5">
        <v>2.2499999999999999E-2</v>
      </c>
      <c r="D46" s="18">
        <v>20</v>
      </c>
      <c r="E46" s="11">
        <v>4.1799999999999997E-3</v>
      </c>
      <c r="F46" s="5">
        <v>0.05</v>
      </c>
      <c r="G46" s="12">
        <v>0.03</v>
      </c>
      <c r="H46" s="3">
        <f>0</f>
        <v>0</v>
      </c>
      <c r="I46" s="28">
        <f t="shared" ref="I46:I54" si="27">B46*C46+D46*$F$2/1000</f>
        <v>21350</v>
      </c>
      <c r="J46" s="24">
        <f>(J45+B46)*(1+F46)</f>
        <v>129150</v>
      </c>
      <c r="K46" s="24">
        <f t="shared" ref="K46:K54" si="28">$F$2+J46</f>
        <v>1129150</v>
      </c>
      <c r="L46" s="23">
        <f t="shared" ref="L46:L54" si="29">K46/(1+G46)</f>
        <v>1096262.13592233</v>
      </c>
      <c r="M46" s="23">
        <f t="shared" si="23"/>
        <v>1030901.0224077669</v>
      </c>
      <c r="N46" s="23">
        <f t="shared" si="24"/>
        <v>4309.1662736644657</v>
      </c>
      <c r="O46" s="23">
        <f t="shared" si="25"/>
        <v>3052.5973620449317</v>
      </c>
      <c r="P46" s="23">
        <f t="shared" ref="P46:P54" si="30">Q45</f>
        <v>26711.113514563105</v>
      </c>
      <c r="Q46" s="68">
        <f t="shared" ref="Q46:Q54" si="31">(P46+B46-I46-N46+O46)</f>
        <v>64104.544602943562</v>
      </c>
      <c r="R46" s="25">
        <f>10%</f>
        <v>0.1</v>
      </c>
      <c r="S46" s="30">
        <f t="shared" ref="S46:S54" si="32">S45*(1-R46)</f>
        <v>0.76500000000000001</v>
      </c>
      <c r="T46" s="34">
        <f t="shared" ref="T46:T54" si="33">Q46*S46</f>
        <v>49039.97662125183</v>
      </c>
    </row>
    <row r="47" spans="1:20" s="3" customFormat="1" x14ac:dyDescent="0.25">
      <c r="A47" s="3">
        <f t="shared" ref="A47:A54" si="34">A46+1</f>
        <v>3</v>
      </c>
      <c r="B47" s="15">
        <f t="shared" si="26"/>
        <v>60000</v>
      </c>
      <c r="C47" s="5">
        <v>2.2499999999999999E-2</v>
      </c>
      <c r="D47" s="18">
        <v>20</v>
      </c>
      <c r="E47" s="11">
        <v>5.1480000000000007E-3</v>
      </c>
      <c r="F47" s="5">
        <v>0.05</v>
      </c>
      <c r="G47" s="12">
        <v>0.03</v>
      </c>
      <c r="H47" s="3">
        <f>0</f>
        <v>0</v>
      </c>
      <c r="I47" s="28">
        <f t="shared" si="27"/>
        <v>21350</v>
      </c>
      <c r="J47" s="24">
        <f t="shared" ref="J47:J54" si="35">(J46+B47)*(1+F47)</f>
        <v>198607.5</v>
      </c>
      <c r="K47" s="24">
        <f t="shared" si="28"/>
        <v>1198607.5</v>
      </c>
      <c r="L47" s="23">
        <f t="shared" si="29"/>
        <v>1163696.6019417476</v>
      </c>
      <c r="M47" s="23">
        <f t="shared" si="23"/>
        <v>1060942.057338804</v>
      </c>
      <c r="N47" s="23">
        <f t="shared" si="24"/>
        <v>5461.7297111801636</v>
      </c>
      <c r="O47" s="23">
        <f t="shared" si="25"/>
        <v>4864.6407445881696</v>
      </c>
      <c r="P47" s="23">
        <f t="shared" si="30"/>
        <v>64104.544602943562</v>
      </c>
      <c r="Q47" s="23">
        <f t="shared" si="31"/>
        <v>102157.45563635156</v>
      </c>
      <c r="R47" s="25">
        <f>10%</f>
        <v>0.1</v>
      </c>
      <c r="S47" s="30">
        <f t="shared" si="32"/>
        <v>0.6885</v>
      </c>
      <c r="T47" s="26">
        <f t="shared" si="33"/>
        <v>70335.408205628046</v>
      </c>
    </row>
    <row r="48" spans="1:20" s="3" customFormat="1" x14ac:dyDescent="0.25">
      <c r="A48" s="3">
        <f t="shared" si="34"/>
        <v>4</v>
      </c>
      <c r="B48" s="15">
        <f t="shared" si="26"/>
        <v>60000</v>
      </c>
      <c r="C48" s="5">
        <v>2.2499999999999999E-2</v>
      </c>
      <c r="D48" s="18">
        <v>20</v>
      </c>
      <c r="E48" s="11">
        <v>5.8139999999999997E-3</v>
      </c>
      <c r="F48" s="5">
        <v>0.05</v>
      </c>
      <c r="G48" s="12">
        <v>0.03</v>
      </c>
      <c r="H48" s="3">
        <f>0</f>
        <v>0</v>
      </c>
      <c r="I48" s="28">
        <f t="shared" si="27"/>
        <v>21350</v>
      </c>
      <c r="J48" s="24">
        <f t="shared" si="35"/>
        <v>271537.875</v>
      </c>
      <c r="K48" s="24">
        <f t="shared" si="28"/>
        <v>1271537.875</v>
      </c>
      <c r="L48" s="23">
        <f t="shared" si="29"/>
        <v>1234502.7912621358</v>
      </c>
      <c r="M48" s="23">
        <f t="shared" si="23"/>
        <v>1093695.3356257842</v>
      </c>
      <c r="N48" s="23">
        <f t="shared" si="24"/>
        <v>6358.7446813283095</v>
      </c>
      <c r="O48" s="23">
        <f t="shared" si="25"/>
        <v>6722.4355477511626</v>
      </c>
      <c r="P48" s="23">
        <f t="shared" si="30"/>
        <v>102157.45563635156</v>
      </c>
      <c r="Q48" s="23">
        <f t="shared" si="31"/>
        <v>141171.14650277441</v>
      </c>
      <c r="R48" s="25">
        <f>10%</f>
        <v>0.1</v>
      </c>
      <c r="S48" s="30">
        <f t="shared" si="32"/>
        <v>0.61965000000000003</v>
      </c>
      <c r="T48" s="26">
        <f t="shared" si="33"/>
        <v>87476.700930444174</v>
      </c>
    </row>
    <row r="49" spans="1:20" s="3" customFormat="1" x14ac:dyDescent="0.25">
      <c r="A49" s="3">
        <f t="shared" si="34"/>
        <v>5</v>
      </c>
      <c r="B49" s="15">
        <f t="shared" si="26"/>
        <v>60000</v>
      </c>
      <c r="C49" s="5">
        <v>2.2499999999999999E-2</v>
      </c>
      <c r="D49" s="18">
        <v>20</v>
      </c>
      <c r="E49" s="11">
        <v>6.2080000000000008E-3</v>
      </c>
      <c r="F49" s="5">
        <v>0.05</v>
      </c>
      <c r="G49" s="12">
        <v>0.03</v>
      </c>
      <c r="H49" s="3">
        <f>0</f>
        <v>0</v>
      </c>
      <c r="I49" s="28">
        <f t="shared" si="27"/>
        <v>21350</v>
      </c>
      <c r="J49" s="24">
        <f t="shared" si="35"/>
        <v>348114.76874999999</v>
      </c>
      <c r="K49" s="24">
        <f t="shared" si="28"/>
        <v>1348114.76875</v>
      </c>
      <c r="L49" s="23">
        <f t="shared" si="29"/>
        <v>1308849.2900485436</v>
      </c>
      <c r="M49" s="23">
        <f t="shared" si="23"/>
        <v>1129028.1435457692</v>
      </c>
      <c r="N49" s="23">
        <f t="shared" si="24"/>
        <v>7009.0067151321355</v>
      </c>
      <c r="O49" s="23">
        <f t="shared" si="25"/>
        <v>8640.606989382115</v>
      </c>
      <c r="P49" s="23">
        <f t="shared" si="30"/>
        <v>141171.14650277441</v>
      </c>
      <c r="Q49" s="23">
        <f t="shared" si="31"/>
        <v>181452.74677702441</v>
      </c>
      <c r="R49" s="25">
        <f>10%</f>
        <v>0.1</v>
      </c>
      <c r="S49" s="30">
        <f t="shared" si="32"/>
        <v>0.5576850000000001</v>
      </c>
      <c r="T49" s="26">
        <f t="shared" si="33"/>
        <v>101193.47508634487</v>
      </c>
    </row>
    <row r="50" spans="1:20" s="3" customFormat="1" x14ac:dyDescent="0.25">
      <c r="A50" s="3">
        <f t="shared" si="34"/>
        <v>6</v>
      </c>
      <c r="B50" s="15">
        <f t="shared" si="26"/>
        <v>60000</v>
      </c>
      <c r="C50" s="5">
        <v>2.2499999999999999E-2</v>
      </c>
      <c r="D50" s="18">
        <v>10</v>
      </c>
      <c r="E50" s="11">
        <v>6.0000000000000001E-3</v>
      </c>
      <c r="F50" s="5">
        <v>0.05</v>
      </c>
      <c r="G50" s="12">
        <v>0.03</v>
      </c>
      <c r="H50" s="3">
        <f>0</f>
        <v>0</v>
      </c>
      <c r="I50" s="28">
        <f t="shared" si="27"/>
        <v>11350</v>
      </c>
      <c r="J50" s="24">
        <f t="shared" si="35"/>
        <v>428520.50718750001</v>
      </c>
      <c r="K50" s="24">
        <f t="shared" si="28"/>
        <v>1428520.5071875001</v>
      </c>
      <c r="L50" s="23">
        <f t="shared" si="29"/>
        <v>1386913.1137742719</v>
      </c>
      <c r="M50" s="23">
        <f t="shared" si="23"/>
        <v>1156810.3669972476</v>
      </c>
      <c r="N50" s="23">
        <f t="shared" si="24"/>
        <v>6940.8622019834856</v>
      </c>
      <c r="O50" s="23">
        <f t="shared" si="25"/>
        <v>11158.094228752047</v>
      </c>
      <c r="P50" s="23">
        <f t="shared" si="30"/>
        <v>181452.74677702441</v>
      </c>
      <c r="Q50" s="23">
        <f t="shared" si="31"/>
        <v>234319.97880379297</v>
      </c>
      <c r="R50" s="25">
        <f>0.05</f>
        <v>0.05</v>
      </c>
      <c r="S50" s="30">
        <f t="shared" si="32"/>
        <v>0.52980075000000004</v>
      </c>
      <c r="T50" s="26">
        <f t="shared" si="33"/>
        <v>124142.90051023362</v>
      </c>
    </row>
    <row r="51" spans="1:20" s="3" customFormat="1" x14ac:dyDescent="0.25">
      <c r="A51" s="3">
        <f t="shared" si="34"/>
        <v>7</v>
      </c>
      <c r="B51" s="15">
        <f t="shared" si="26"/>
        <v>60000</v>
      </c>
      <c r="C51" s="5">
        <v>2.2499999999999999E-2</v>
      </c>
      <c r="D51" s="18">
        <v>10</v>
      </c>
      <c r="E51" s="11">
        <v>5.6699999999999997E-3</v>
      </c>
      <c r="F51" s="5">
        <v>0.05</v>
      </c>
      <c r="G51" s="12">
        <v>0.03</v>
      </c>
      <c r="H51" s="3">
        <f>0</f>
        <v>0</v>
      </c>
      <c r="I51" s="28">
        <f t="shared" si="27"/>
        <v>11350</v>
      </c>
      <c r="J51" s="24">
        <f t="shared" si="35"/>
        <v>512946.53254687501</v>
      </c>
      <c r="K51" s="24">
        <f t="shared" si="28"/>
        <v>1512946.5325468751</v>
      </c>
      <c r="L51" s="23">
        <f t="shared" si="29"/>
        <v>1468880.1286862865</v>
      </c>
      <c r="M51" s="23">
        <f t="shared" si="23"/>
        <v>1185910.1498824935</v>
      </c>
      <c r="N51" s="23">
        <f t="shared" si="24"/>
        <v>6724.1105498337383</v>
      </c>
      <c r="O51" s="23">
        <f t="shared" si="25"/>
        <v>13812.293412697962</v>
      </c>
      <c r="P51" s="23">
        <f t="shared" si="30"/>
        <v>234319.97880379297</v>
      </c>
      <c r="Q51" s="23">
        <f t="shared" si="31"/>
        <v>290058.16166665719</v>
      </c>
      <c r="R51" s="25">
        <f>0.05</f>
        <v>0.05</v>
      </c>
      <c r="S51" s="30">
        <f t="shared" si="32"/>
        <v>0.50331071250000003</v>
      </c>
      <c r="T51" s="26">
        <f t="shared" si="33"/>
        <v>145989.38001488542</v>
      </c>
    </row>
    <row r="52" spans="1:20" s="3" customFormat="1" x14ac:dyDescent="0.25">
      <c r="A52" s="3">
        <f t="shared" si="34"/>
        <v>8</v>
      </c>
      <c r="B52" s="15">
        <f t="shared" si="26"/>
        <v>60000</v>
      </c>
      <c r="C52" s="5">
        <v>2.2499999999999999E-2</v>
      </c>
      <c r="D52" s="18">
        <v>10</v>
      </c>
      <c r="E52" s="11">
        <v>5.1479999999999989E-3</v>
      </c>
      <c r="F52" s="5">
        <v>0.05</v>
      </c>
      <c r="G52" s="12">
        <v>0.03</v>
      </c>
      <c r="H52" s="3">
        <f>0</f>
        <v>0</v>
      </c>
      <c r="I52" s="28">
        <f t="shared" si="27"/>
        <v>11350</v>
      </c>
      <c r="J52" s="24">
        <f t="shared" si="35"/>
        <v>601593.85917421884</v>
      </c>
      <c r="K52" s="24">
        <f t="shared" si="28"/>
        <v>1601593.859174219</v>
      </c>
      <c r="L52" s="23">
        <f t="shared" si="29"/>
        <v>1554945.4943439018</v>
      </c>
      <c r="M52" s="23">
        <f t="shared" si="23"/>
        <v>1216237.3326772447</v>
      </c>
      <c r="N52" s="23">
        <f t="shared" si="24"/>
        <v>6261.1897886224542</v>
      </c>
      <c r="O52" s="23">
        <f t="shared" si="25"/>
        <v>16622.348593901737</v>
      </c>
      <c r="P52" s="23">
        <f t="shared" si="30"/>
        <v>290058.16166665719</v>
      </c>
      <c r="Q52" s="23">
        <f t="shared" si="31"/>
        <v>349069.32047193649</v>
      </c>
      <c r="R52" s="25">
        <f>0.05</f>
        <v>0.05</v>
      </c>
      <c r="S52" s="30">
        <f t="shared" si="32"/>
        <v>0.47814517687500002</v>
      </c>
      <c r="T52" s="26">
        <f t="shared" si="33"/>
        <v>166905.81197869015</v>
      </c>
    </row>
    <row r="53" spans="1:20" s="3" customFormat="1" x14ac:dyDescent="0.25">
      <c r="A53" s="3">
        <f t="shared" si="34"/>
        <v>9</v>
      </c>
      <c r="B53" s="15">
        <f t="shared" si="26"/>
        <v>60000</v>
      </c>
      <c r="C53" s="5">
        <v>2.2499999999999999E-2</v>
      </c>
      <c r="D53" s="18">
        <v>10</v>
      </c>
      <c r="E53" s="11">
        <v>4.4759999999999999E-3</v>
      </c>
      <c r="F53" s="5">
        <v>0.05</v>
      </c>
      <c r="G53" s="12">
        <v>0.03</v>
      </c>
      <c r="H53" s="3">
        <f>0</f>
        <v>0</v>
      </c>
      <c r="I53" s="28">
        <f t="shared" si="27"/>
        <v>11350</v>
      </c>
      <c r="J53" s="24">
        <f t="shared" si="35"/>
        <v>694673.55213292979</v>
      </c>
      <c r="K53" s="24">
        <f t="shared" si="28"/>
        <v>1694673.5521329297</v>
      </c>
      <c r="L53" s="23">
        <f t="shared" si="29"/>
        <v>1645314.1282843978</v>
      </c>
      <c r="M53" s="23">
        <f t="shared" si="23"/>
        <v>1247594.8078124612</v>
      </c>
      <c r="N53" s="23">
        <f t="shared" si="24"/>
        <v>5584.2343597685758</v>
      </c>
      <c r="O53" s="23">
        <f t="shared" si="25"/>
        <v>19606.754305608396</v>
      </c>
      <c r="P53" s="23">
        <f t="shared" si="30"/>
        <v>349069.32047193649</v>
      </c>
      <c r="Q53" s="23">
        <f t="shared" si="31"/>
        <v>411741.84041777632</v>
      </c>
      <c r="R53" s="25">
        <f>0.05</f>
        <v>0.05</v>
      </c>
      <c r="S53" s="30">
        <f t="shared" si="32"/>
        <v>0.45423791803125002</v>
      </c>
      <c r="T53" s="26">
        <f t="shared" si="33"/>
        <v>187028.75635772591</v>
      </c>
    </row>
    <row r="54" spans="1:20" s="3" customFormat="1" x14ac:dyDescent="0.25">
      <c r="A54" s="3">
        <f t="shared" si="34"/>
        <v>10</v>
      </c>
      <c r="B54" s="15">
        <f t="shared" si="26"/>
        <v>60000</v>
      </c>
      <c r="C54" s="5">
        <v>2.2499999999999999E-2</v>
      </c>
      <c r="D54" s="18">
        <v>10</v>
      </c>
      <c r="E54" s="11">
        <v>3.7950000000000002E-3</v>
      </c>
      <c r="F54" s="5">
        <v>0.05</v>
      </c>
      <c r="G54" s="12">
        <v>0.03</v>
      </c>
      <c r="H54" s="5">
        <v>7.4999999999999997E-2</v>
      </c>
      <c r="I54" s="28">
        <f t="shared" si="27"/>
        <v>11350</v>
      </c>
      <c r="J54" s="24">
        <f t="shared" si="35"/>
        <v>792407.22973957635</v>
      </c>
      <c r="K54" s="24">
        <f t="shared" si="28"/>
        <v>1792407.2297395763</v>
      </c>
      <c r="L54" s="23">
        <f t="shared" si="29"/>
        <v>1740201.1939219187</v>
      </c>
      <c r="M54" s="23">
        <f t="shared" si="23"/>
        <v>1279809.3535041425</v>
      </c>
      <c r="N54" s="23">
        <f t="shared" si="24"/>
        <v>4856.8764965482214</v>
      </c>
      <c r="O54" s="23">
        <f t="shared" si="25"/>
        <v>22776.748196061406</v>
      </c>
      <c r="P54" s="23">
        <f t="shared" si="30"/>
        <v>411741.84041777632</v>
      </c>
      <c r="Q54" s="23">
        <f t="shared" si="31"/>
        <v>478311.71211728948</v>
      </c>
      <c r="R54" s="25">
        <v>1</v>
      </c>
      <c r="S54" s="30">
        <f t="shared" si="32"/>
        <v>0</v>
      </c>
      <c r="T54" s="26">
        <f t="shared" si="33"/>
        <v>0</v>
      </c>
    </row>
    <row r="57" spans="1:20" s="3" customFormat="1" ht="16.8" x14ac:dyDescent="0.3">
      <c r="A57" s="16" t="s">
        <v>42</v>
      </c>
      <c r="B57" s="2"/>
      <c r="C57" s="2"/>
      <c r="F57" s="17"/>
      <c r="G57" s="5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</row>
    <row r="58" spans="1:20" s="3" customFormat="1" x14ac:dyDescent="0.25">
      <c r="A58" s="7" t="s">
        <v>2</v>
      </c>
      <c r="B58" s="8"/>
      <c r="C58" s="8"/>
      <c r="D58" s="8" t="s">
        <v>3</v>
      </c>
      <c r="E58" s="8" t="s">
        <v>3</v>
      </c>
      <c r="F58" s="8"/>
      <c r="G58" s="8" t="s">
        <v>34</v>
      </c>
      <c r="H58" s="8" t="s">
        <v>35</v>
      </c>
      <c r="I58" s="20"/>
      <c r="J58" s="20" t="s">
        <v>5</v>
      </c>
      <c r="K58" s="20" t="s">
        <v>18</v>
      </c>
      <c r="L58" s="20" t="s">
        <v>6</v>
      </c>
      <c r="M58" s="20" t="s">
        <v>7</v>
      </c>
      <c r="N58" s="20"/>
      <c r="O58" s="20"/>
      <c r="P58" s="20" t="s">
        <v>8</v>
      </c>
      <c r="Q58" s="20" t="s">
        <v>5</v>
      </c>
      <c r="R58" s="20"/>
      <c r="S58" s="20"/>
      <c r="T58" s="21" t="s">
        <v>5</v>
      </c>
    </row>
    <row r="59" spans="1:20" s="3" customFormat="1" x14ac:dyDescent="0.25">
      <c r="A59" s="8" t="s">
        <v>10</v>
      </c>
      <c r="B59" s="8"/>
      <c r="C59" s="8" t="s">
        <v>33</v>
      </c>
      <c r="D59" s="8" t="s">
        <v>32</v>
      </c>
      <c r="E59" s="8" t="s">
        <v>11</v>
      </c>
      <c r="F59" s="8" t="s">
        <v>12</v>
      </c>
      <c r="G59" s="8" t="s">
        <v>13</v>
      </c>
      <c r="H59" s="8" t="s">
        <v>14</v>
      </c>
      <c r="I59" s="20" t="s">
        <v>15</v>
      </c>
      <c r="J59" s="20" t="s">
        <v>17</v>
      </c>
      <c r="K59" s="20" t="s">
        <v>27</v>
      </c>
      <c r="L59" s="20" t="s">
        <v>18</v>
      </c>
      <c r="M59" s="20" t="s">
        <v>19</v>
      </c>
      <c r="N59" s="20" t="s">
        <v>11</v>
      </c>
      <c r="O59" s="20" t="s">
        <v>13</v>
      </c>
      <c r="P59" s="20" t="s">
        <v>20</v>
      </c>
      <c r="Q59" s="20" t="s">
        <v>16</v>
      </c>
      <c r="R59" s="20" t="s">
        <v>21</v>
      </c>
      <c r="S59" s="20" t="s">
        <v>44</v>
      </c>
      <c r="T59" s="21" t="s">
        <v>16</v>
      </c>
    </row>
    <row r="60" spans="1:20" s="3" customFormat="1" x14ac:dyDescent="0.25">
      <c r="A60" s="8" t="s">
        <v>20</v>
      </c>
      <c r="B60" s="8" t="s">
        <v>22</v>
      </c>
      <c r="C60" s="8" t="s">
        <v>28</v>
      </c>
      <c r="D60" s="8" t="s">
        <v>28</v>
      </c>
      <c r="E60" s="8" t="s">
        <v>23</v>
      </c>
      <c r="F60" s="8" t="s">
        <v>23</v>
      </c>
      <c r="G60" s="8" t="s">
        <v>23</v>
      </c>
      <c r="H60" s="8" t="s">
        <v>24</v>
      </c>
      <c r="I60" s="20" t="s">
        <v>25</v>
      </c>
      <c r="J60" s="20" t="s">
        <v>22</v>
      </c>
      <c r="K60" s="20"/>
      <c r="L60" s="20" t="s">
        <v>27</v>
      </c>
      <c r="M60" s="20" t="s">
        <v>29</v>
      </c>
      <c r="N60" s="20" t="s">
        <v>26</v>
      </c>
      <c r="O60" s="20" t="s">
        <v>12</v>
      </c>
      <c r="P60" s="20" t="s">
        <v>30</v>
      </c>
      <c r="Q60" s="20" t="s">
        <v>39</v>
      </c>
      <c r="R60" s="20" t="s">
        <v>31</v>
      </c>
      <c r="S60" s="20" t="s">
        <v>45</v>
      </c>
      <c r="T60" s="21" t="s">
        <v>39</v>
      </c>
    </row>
    <row r="61" spans="1:20" s="3" customFormat="1" x14ac:dyDescent="0.25">
      <c r="A61" s="8"/>
      <c r="B61" s="33" t="s">
        <v>47</v>
      </c>
      <c r="C61" s="8"/>
      <c r="D61" s="33" t="s">
        <v>47</v>
      </c>
      <c r="E61" s="8"/>
      <c r="F61" s="8"/>
      <c r="G61" s="8"/>
      <c r="H61" s="8"/>
      <c r="I61" s="20"/>
      <c r="J61" s="20"/>
      <c r="K61" s="20"/>
      <c r="L61" s="20"/>
      <c r="M61" s="20"/>
      <c r="N61" s="20"/>
      <c r="O61" s="20"/>
      <c r="P61" s="20"/>
      <c r="Q61" s="20" t="s">
        <v>36</v>
      </c>
      <c r="R61" s="20"/>
      <c r="S61" s="29">
        <v>1000</v>
      </c>
      <c r="T61" s="21" t="s">
        <v>38</v>
      </c>
    </row>
    <row r="62" spans="1:20" s="3" customFormat="1" x14ac:dyDescent="0.25">
      <c r="A62" s="3">
        <f>1</f>
        <v>1</v>
      </c>
      <c r="B62" s="13">
        <v>60</v>
      </c>
      <c r="C62" s="5">
        <v>2.2499999999999999E-2</v>
      </c>
      <c r="D62" s="19">
        <v>30</v>
      </c>
      <c r="E62" s="11">
        <v>3.2000000000000002E-3</v>
      </c>
      <c r="F62" s="5">
        <v>0.05</v>
      </c>
      <c r="G62" s="12">
        <v>0.03</v>
      </c>
      <c r="H62" s="3">
        <f>0</f>
        <v>0</v>
      </c>
      <c r="I62" s="22">
        <f>B62*C62+D62</f>
        <v>31.35</v>
      </c>
      <c r="J62" s="23">
        <f>B62*(1+F62)</f>
        <v>63</v>
      </c>
      <c r="K62" s="24">
        <f>1000+J62</f>
        <v>1063</v>
      </c>
      <c r="L62" s="23">
        <f>K62/(1+G62)</f>
        <v>1032.0388349514562</v>
      </c>
      <c r="M62" s="23">
        <f t="shared" ref="M62:M71" si="36">L62-(P62+B62-I62)</f>
        <v>1003.3888349514563</v>
      </c>
      <c r="N62" s="23">
        <f t="shared" ref="N62:N71" si="37">M62*E62</f>
        <v>3.2108442718446604</v>
      </c>
      <c r="O62" s="23">
        <f t="shared" ref="O62:O71" si="38">F62*(P62+B62-I62-N62)</f>
        <v>1.2719577864077669</v>
      </c>
      <c r="P62" s="23">
        <f>0</f>
        <v>0</v>
      </c>
      <c r="Q62" s="23">
        <f>(P62+B62-I62-N62+O62)</f>
        <v>26.711113514563106</v>
      </c>
      <c r="R62" s="25">
        <f>15%</f>
        <v>0.15</v>
      </c>
      <c r="S62" s="26">
        <f>S61*(1-R62)</f>
        <v>850</v>
      </c>
      <c r="T62" s="26">
        <f>S62*Q62</f>
        <v>22704.446487378642</v>
      </c>
    </row>
    <row r="63" spans="1:20" s="3" customFormat="1" x14ac:dyDescent="0.25">
      <c r="A63" s="3">
        <f>A62+1</f>
        <v>2</v>
      </c>
      <c r="B63" s="13">
        <v>60</v>
      </c>
      <c r="C63" s="5">
        <v>2.2499999999999999E-2</v>
      </c>
      <c r="D63" s="19">
        <v>20</v>
      </c>
      <c r="E63" s="11">
        <v>4.1799999999999997E-3</v>
      </c>
      <c r="F63" s="5">
        <v>0.05</v>
      </c>
      <c r="G63" s="12">
        <v>0.03</v>
      </c>
      <c r="H63" s="3">
        <f>0</f>
        <v>0</v>
      </c>
      <c r="I63" s="22">
        <f t="shared" ref="I63:I71" si="39">B63*C63+D63</f>
        <v>21.35</v>
      </c>
      <c r="J63" s="23">
        <f>(J62+B63)*(1+F63)</f>
        <v>129.15</v>
      </c>
      <c r="K63" s="24">
        <f t="shared" ref="K63:K71" si="40">1000+J63</f>
        <v>1129.1500000000001</v>
      </c>
      <c r="L63" s="23">
        <f t="shared" ref="L63:L71" si="41">K63/(1+G63)</f>
        <v>1096.2621359223301</v>
      </c>
      <c r="M63" s="23">
        <f t="shared" si="36"/>
        <v>1030.901022407767</v>
      </c>
      <c r="N63" s="23">
        <f t="shared" si="37"/>
        <v>4.3091662736644656</v>
      </c>
      <c r="O63" s="23">
        <f t="shared" si="38"/>
        <v>3.0525973620449318</v>
      </c>
      <c r="P63" s="23">
        <f t="shared" ref="P63:P71" si="42">Q62</f>
        <v>26.711113514563106</v>
      </c>
      <c r="Q63" s="68">
        <f t="shared" ref="Q63:Q71" si="43">(P63+B63-I63-N63+O63)</f>
        <v>64.104544602943562</v>
      </c>
      <c r="R63" s="25">
        <f>10%</f>
        <v>0.1</v>
      </c>
      <c r="S63" s="26">
        <f t="shared" ref="S63:S71" si="44">S62*(1-R63)</f>
        <v>765</v>
      </c>
      <c r="T63" s="34">
        <f t="shared" ref="T63:T71" si="45">S63*Q63</f>
        <v>49039.976621251823</v>
      </c>
    </row>
    <row r="64" spans="1:20" s="3" customFormat="1" x14ac:dyDescent="0.25">
      <c r="A64" s="3">
        <f t="shared" ref="A64:A71" si="46">A63+1</f>
        <v>3</v>
      </c>
      <c r="B64" s="13">
        <v>60</v>
      </c>
      <c r="C64" s="5">
        <v>2.2499999999999999E-2</v>
      </c>
      <c r="D64" s="19">
        <v>20</v>
      </c>
      <c r="E64" s="11">
        <v>5.1480000000000007E-3</v>
      </c>
      <c r="F64" s="5">
        <v>0.05</v>
      </c>
      <c r="G64" s="12">
        <v>0.03</v>
      </c>
      <c r="H64" s="3">
        <f>0</f>
        <v>0</v>
      </c>
      <c r="I64" s="22">
        <f t="shared" si="39"/>
        <v>21.35</v>
      </c>
      <c r="J64" s="23">
        <f t="shared" ref="J64:J71" si="47">(J63+B64)*(1+F64)</f>
        <v>198.60750000000002</v>
      </c>
      <c r="K64" s="24">
        <f t="shared" si="40"/>
        <v>1198.6075000000001</v>
      </c>
      <c r="L64" s="23">
        <f t="shared" si="41"/>
        <v>1163.6966019417475</v>
      </c>
      <c r="M64" s="23">
        <f t="shared" si="36"/>
        <v>1060.942057338804</v>
      </c>
      <c r="N64" s="23">
        <f t="shared" si="37"/>
        <v>5.4617297111801637</v>
      </c>
      <c r="O64" s="23">
        <f t="shared" si="38"/>
        <v>4.8646407445881694</v>
      </c>
      <c r="P64" s="23">
        <f t="shared" si="42"/>
        <v>64.104544602943562</v>
      </c>
      <c r="Q64" s="23">
        <f t="shared" si="43"/>
        <v>102.15745563635156</v>
      </c>
      <c r="R64" s="25">
        <f>10%</f>
        <v>0.1</v>
      </c>
      <c r="S64" s="26">
        <f t="shared" si="44"/>
        <v>688.5</v>
      </c>
      <c r="T64" s="26">
        <f t="shared" si="45"/>
        <v>70335.408205628046</v>
      </c>
    </row>
    <row r="65" spans="1:20" s="3" customFormat="1" x14ac:dyDescent="0.25">
      <c r="A65" s="3">
        <f t="shared" si="46"/>
        <v>4</v>
      </c>
      <c r="B65" s="13">
        <v>60</v>
      </c>
      <c r="C65" s="5">
        <v>2.2499999999999999E-2</v>
      </c>
      <c r="D65" s="19">
        <v>20</v>
      </c>
      <c r="E65" s="11">
        <v>5.8139999999999997E-3</v>
      </c>
      <c r="F65" s="5">
        <v>0.05</v>
      </c>
      <c r="G65" s="12">
        <v>0.03</v>
      </c>
      <c r="H65" s="3">
        <f>0</f>
        <v>0</v>
      </c>
      <c r="I65" s="22">
        <f t="shared" si="39"/>
        <v>21.35</v>
      </c>
      <c r="J65" s="23">
        <f t="shared" si="47"/>
        <v>271.53787500000004</v>
      </c>
      <c r="K65" s="24">
        <f t="shared" si="40"/>
        <v>1271.537875</v>
      </c>
      <c r="L65" s="23">
        <f t="shared" si="41"/>
        <v>1234.5027912621358</v>
      </c>
      <c r="M65" s="23">
        <f t="shared" si="36"/>
        <v>1093.6953356257843</v>
      </c>
      <c r="N65" s="23">
        <f t="shared" si="37"/>
        <v>6.3587446813283099</v>
      </c>
      <c r="O65" s="23">
        <f t="shared" si="38"/>
        <v>6.7224355477511626</v>
      </c>
      <c r="P65" s="23">
        <f t="shared" si="42"/>
        <v>102.15745563635156</v>
      </c>
      <c r="Q65" s="23">
        <f t="shared" si="43"/>
        <v>141.17114650277441</v>
      </c>
      <c r="R65" s="25">
        <f>10%</f>
        <v>0.1</v>
      </c>
      <c r="S65" s="26">
        <f t="shared" si="44"/>
        <v>619.65</v>
      </c>
      <c r="T65" s="26">
        <f t="shared" si="45"/>
        <v>87476.70093044416</v>
      </c>
    </row>
    <row r="66" spans="1:20" s="3" customFormat="1" x14ac:dyDescent="0.25">
      <c r="A66" s="3">
        <f t="shared" si="46"/>
        <v>5</v>
      </c>
      <c r="B66" s="13">
        <v>60</v>
      </c>
      <c r="C66" s="5">
        <v>2.2499999999999999E-2</v>
      </c>
      <c r="D66" s="19">
        <v>20</v>
      </c>
      <c r="E66" s="11">
        <v>6.2080000000000008E-3</v>
      </c>
      <c r="F66" s="5">
        <v>0.05</v>
      </c>
      <c r="G66" s="12">
        <v>0.03</v>
      </c>
      <c r="H66" s="3">
        <f>0</f>
        <v>0</v>
      </c>
      <c r="I66" s="22">
        <f t="shared" si="39"/>
        <v>21.35</v>
      </c>
      <c r="J66" s="23">
        <f t="shared" si="47"/>
        <v>348.11476875000005</v>
      </c>
      <c r="K66" s="24">
        <f t="shared" si="40"/>
        <v>1348.1147687500002</v>
      </c>
      <c r="L66" s="23">
        <f t="shared" si="41"/>
        <v>1308.8492900485437</v>
      </c>
      <c r="M66" s="23">
        <f t="shared" si="36"/>
        <v>1129.0281435457694</v>
      </c>
      <c r="N66" s="23">
        <f t="shared" si="37"/>
        <v>7.0090067151321369</v>
      </c>
      <c r="O66" s="23">
        <f t="shared" si="38"/>
        <v>8.640606989382114</v>
      </c>
      <c r="P66" s="23">
        <f t="shared" si="42"/>
        <v>141.17114650277441</v>
      </c>
      <c r="Q66" s="23">
        <f t="shared" si="43"/>
        <v>181.4527467770244</v>
      </c>
      <c r="R66" s="25">
        <f>10%</f>
        <v>0.1</v>
      </c>
      <c r="S66" s="26">
        <f t="shared" si="44"/>
        <v>557.68499999999995</v>
      </c>
      <c r="T66" s="26">
        <f t="shared" si="45"/>
        <v>101193.47508634484</v>
      </c>
    </row>
    <row r="67" spans="1:20" s="3" customFormat="1" x14ac:dyDescent="0.25">
      <c r="A67" s="3">
        <f t="shared" si="46"/>
        <v>6</v>
      </c>
      <c r="B67" s="13">
        <v>60</v>
      </c>
      <c r="C67" s="5">
        <v>2.2499999999999999E-2</v>
      </c>
      <c r="D67" s="19">
        <v>10</v>
      </c>
      <c r="E67" s="11">
        <v>6.0000000000000001E-3</v>
      </c>
      <c r="F67" s="5">
        <v>0.05</v>
      </c>
      <c r="G67" s="12">
        <v>0.03</v>
      </c>
      <c r="H67" s="3">
        <f>0</f>
        <v>0</v>
      </c>
      <c r="I67" s="22">
        <f t="shared" si="39"/>
        <v>11.35</v>
      </c>
      <c r="J67" s="23">
        <f t="shared" si="47"/>
        <v>428.52050718750007</v>
      </c>
      <c r="K67" s="24">
        <f t="shared" si="40"/>
        <v>1428.5205071875</v>
      </c>
      <c r="L67" s="23">
        <f t="shared" si="41"/>
        <v>1386.9131137742718</v>
      </c>
      <c r="M67" s="23">
        <f t="shared" si="36"/>
        <v>1156.8103669972475</v>
      </c>
      <c r="N67" s="23">
        <f t="shared" si="37"/>
        <v>6.9408622019834851</v>
      </c>
      <c r="O67" s="23">
        <f t="shared" si="38"/>
        <v>11.158094228752047</v>
      </c>
      <c r="P67" s="23">
        <f t="shared" si="42"/>
        <v>181.4527467770244</v>
      </c>
      <c r="Q67" s="23">
        <f t="shared" si="43"/>
        <v>234.31997880379296</v>
      </c>
      <c r="R67" s="25">
        <f>0.05</f>
        <v>0.05</v>
      </c>
      <c r="S67" s="26">
        <f t="shared" si="44"/>
        <v>529.80074999999988</v>
      </c>
      <c r="T67" s="26">
        <f t="shared" si="45"/>
        <v>124142.90051023359</v>
      </c>
    </row>
    <row r="68" spans="1:20" s="3" customFormat="1" x14ac:dyDescent="0.25">
      <c r="A68" s="3">
        <f t="shared" si="46"/>
        <v>7</v>
      </c>
      <c r="B68" s="13">
        <v>60</v>
      </c>
      <c r="C68" s="5">
        <v>2.2499999999999999E-2</v>
      </c>
      <c r="D68" s="19">
        <v>10</v>
      </c>
      <c r="E68" s="11">
        <v>5.6699999999999997E-3</v>
      </c>
      <c r="F68" s="5">
        <v>0.05</v>
      </c>
      <c r="G68" s="12">
        <v>0.03</v>
      </c>
      <c r="H68" s="3">
        <f>0</f>
        <v>0</v>
      </c>
      <c r="I68" s="22">
        <f t="shared" si="39"/>
        <v>11.35</v>
      </c>
      <c r="J68" s="23">
        <f t="shared" si="47"/>
        <v>512.94653254687512</v>
      </c>
      <c r="K68" s="24">
        <f t="shared" si="40"/>
        <v>1512.946532546875</v>
      </c>
      <c r="L68" s="23">
        <f t="shared" si="41"/>
        <v>1468.8801286862863</v>
      </c>
      <c r="M68" s="23">
        <f t="shared" si="36"/>
        <v>1185.9101498824934</v>
      </c>
      <c r="N68" s="23">
        <f t="shared" si="37"/>
        <v>6.7241105498337372</v>
      </c>
      <c r="O68" s="23">
        <f t="shared" si="38"/>
        <v>13.812293412697963</v>
      </c>
      <c r="P68" s="23">
        <f t="shared" si="42"/>
        <v>234.31997880379296</v>
      </c>
      <c r="Q68" s="23">
        <f t="shared" si="43"/>
        <v>290.05816166665721</v>
      </c>
      <c r="R68" s="25">
        <f>0.05</f>
        <v>0.05</v>
      </c>
      <c r="S68" s="26">
        <f t="shared" si="44"/>
        <v>503.31071249999985</v>
      </c>
      <c r="T68" s="26">
        <f t="shared" si="45"/>
        <v>145989.38001488539</v>
      </c>
    </row>
    <row r="69" spans="1:20" s="3" customFormat="1" x14ac:dyDescent="0.25">
      <c r="A69" s="3">
        <f t="shared" si="46"/>
        <v>8</v>
      </c>
      <c r="B69" s="13">
        <v>60</v>
      </c>
      <c r="C69" s="5">
        <v>2.2499999999999999E-2</v>
      </c>
      <c r="D69" s="19">
        <v>10</v>
      </c>
      <c r="E69" s="11">
        <v>5.1479999999999989E-3</v>
      </c>
      <c r="F69" s="5">
        <v>0.05</v>
      </c>
      <c r="G69" s="12">
        <v>0.03</v>
      </c>
      <c r="H69" s="3">
        <f>0</f>
        <v>0</v>
      </c>
      <c r="I69" s="22">
        <f t="shared" si="39"/>
        <v>11.35</v>
      </c>
      <c r="J69" s="23">
        <f t="shared" si="47"/>
        <v>601.59385917421889</v>
      </c>
      <c r="K69" s="24">
        <f t="shared" si="40"/>
        <v>1601.5938591742188</v>
      </c>
      <c r="L69" s="23">
        <f t="shared" si="41"/>
        <v>1554.9454943439016</v>
      </c>
      <c r="M69" s="23">
        <f t="shared" si="36"/>
        <v>1216.2373326772445</v>
      </c>
      <c r="N69" s="23">
        <f t="shared" si="37"/>
        <v>6.2611897886224535</v>
      </c>
      <c r="O69" s="23">
        <f t="shared" si="38"/>
        <v>16.622348593901737</v>
      </c>
      <c r="P69" s="23">
        <f t="shared" si="42"/>
        <v>290.05816166665721</v>
      </c>
      <c r="Q69" s="23">
        <f t="shared" si="43"/>
        <v>349.06932047193646</v>
      </c>
      <c r="R69" s="25">
        <f>0.05</f>
        <v>0.05</v>
      </c>
      <c r="S69" s="26">
        <f t="shared" si="44"/>
        <v>478.14517687499983</v>
      </c>
      <c r="T69" s="26">
        <f t="shared" si="45"/>
        <v>166905.81197869006</v>
      </c>
    </row>
    <row r="70" spans="1:20" s="3" customFormat="1" x14ac:dyDescent="0.25">
      <c r="A70" s="3">
        <f t="shared" si="46"/>
        <v>9</v>
      </c>
      <c r="B70" s="13">
        <v>60</v>
      </c>
      <c r="C70" s="5">
        <v>2.2499999999999999E-2</v>
      </c>
      <c r="D70" s="19">
        <v>10</v>
      </c>
      <c r="E70" s="11">
        <v>4.4759999999999999E-3</v>
      </c>
      <c r="F70" s="5">
        <v>0.05</v>
      </c>
      <c r="G70" s="12">
        <v>0.03</v>
      </c>
      <c r="H70" s="3">
        <f>0</f>
        <v>0</v>
      </c>
      <c r="I70" s="22">
        <f t="shared" si="39"/>
        <v>11.35</v>
      </c>
      <c r="J70" s="23">
        <f t="shared" si="47"/>
        <v>694.6735521329299</v>
      </c>
      <c r="K70" s="24">
        <f t="shared" si="40"/>
        <v>1694.6735521329299</v>
      </c>
      <c r="L70" s="23">
        <f t="shared" si="41"/>
        <v>1645.3141282843978</v>
      </c>
      <c r="M70" s="23">
        <f t="shared" si="36"/>
        <v>1247.5948078124613</v>
      </c>
      <c r="N70" s="23">
        <f t="shared" si="37"/>
        <v>5.5842343597685771</v>
      </c>
      <c r="O70" s="23">
        <f t="shared" si="38"/>
        <v>19.606754305608394</v>
      </c>
      <c r="P70" s="23">
        <f t="shared" si="42"/>
        <v>349.06932047193646</v>
      </c>
      <c r="Q70" s="23">
        <f t="shared" si="43"/>
        <v>411.74184041777625</v>
      </c>
      <c r="R70" s="25">
        <f>0.05</f>
        <v>0.05</v>
      </c>
      <c r="S70" s="26">
        <f t="shared" si="44"/>
        <v>454.23791803124982</v>
      </c>
      <c r="T70" s="26">
        <f t="shared" si="45"/>
        <v>187028.7563577258</v>
      </c>
    </row>
    <row r="71" spans="1:20" s="3" customFormat="1" x14ac:dyDescent="0.25">
      <c r="A71" s="3">
        <f t="shared" si="46"/>
        <v>10</v>
      </c>
      <c r="B71" s="13">
        <v>60</v>
      </c>
      <c r="C71" s="5">
        <v>2.2499999999999999E-2</v>
      </c>
      <c r="D71" s="19">
        <v>10</v>
      </c>
      <c r="E71" s="11">
        <v>3.7950000000000002E-3</v>
      </c>
      <c r="F71" s="5">
        <v>0.05</v>
      </c>
      <c r="G71" s="12">
        <v>0.03</v>
      </c>
      <c r="H71" s="5">
        <v>7.4999999999999997E-2</v>
      </c>
      <c r="I71" s="22">
        <f t="shared" si="39"/>
        <v>11.35</v>
      </c>
      <c r="J71" s="23">
        <f t="shared" si="47"/>
        <v>792.40722973957645</v>
      </c>
      <c r="K71" s="24">
        <f t="shared" si="40"/>
        <v>1792.4072297395765</v>
      </c>
      <c r="L71" s="23">
        <f t="shared" si="41"/>
        <v>1740.2011939219187</v>
      </c>
      <c r="M71" s="23">
        <f t="shared" si="36"/>
        <v>1279.8093535041426</v>
      </c>
      <c r="N71" s="23">
        <f t="shared" si="37"/>
        <v>4.856876496548221</v>
      </c>
      <c r="O71" s="23">
        <f t="shared" si="38"/>
        <v>22.776748196061401</v>
      </c>
      <c r="P71" s="23">
        <f t="shared" si="42"/>
        <v>411.74184041777625</v>
      </c>
      <c r="Q71" s="23">
        <f t="shared" si="43"/>
        <v>478.3117121172894</v>
      </c>
      <c r="R71" s="25">
        <v>1</v>
      </c>
      <c r="S71" s="26">
        <f t="shared" si="44"/>
        <v>0</v>
      </c>
      <c r="T71" s="26">
        <f t="shared" si="45"/>
        <v>0</v>
      </c>
    </row>
  </sheetData>
  <pageMargins left="0.7" right="0.7" top="0.75" bottom="0.75" header="0.3" footer="0.3"/>
  <headerFooter>
    <oddFooter>&amp;C_x000D_&amp;1#&amp;"Calibri"&amp;10&amp;K000000 CONFIDENTIAL</oddFooter>
  </headerFooter>
  <customProperties>
    <customPr name="_pios_id" r:id="rId1"/>
  </customProperties>
  <ignoredErrors>
    <ignoredError sqref="J29:J3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CF2D3-9C62-4E04-B6FF-B587BB9BCEB9}">
  <dimension ref="A1:K79"/>
  <sheetViews>
    <sheetView showGridLines="0" workbookViewId="0">
      <selection activeCell="B12" sqref="B12"/>
    </sheetView>
  </sheetViews>
  <sheetFormatPr defaultRowHeight="13.2" x14ac:dyDescent="0.25"/>
  <cols>
    <col min="2" max="2" width="12.5546875" customWidth="1"/>
    <col min="3" max="3" width="10.88671875" customWidth="1"/>
    <col min="4" max="4" width="9.88671875" customWidth="1"/>
    <col min="5" max="5" width="10.44140625" customWidth="1"/>
    <col min="6" max="6" width="10.109375" customWidth="1"/>
    <col min="7" max="7" width="15.44140625" customWidth="1"/>
    <col min="8" max="8" width="11.33203125" customWidth="1"/>
    <col min="9" max="9" width="10" customWidth="1"/>
    <col min="10" max="10" width="17.109375" customWidth="1"/>
  </cols>
  <sheetData>
    <row r="1" spans="1:11" x14ac:dyDescent="0.25">
      <c r="A1" s="2" t="s">
        <v>67</v>
      </c>
    </row>
    <row r="2" spans="1:11" ht="16.8" x14ac:dyDescent="0.3">
      <c r="A2" s="16" t="s">
        <v>53</v>
      </c>
      <c r="B2" s="2"/>
      <c r="C2" s="2"/>
      <c r="D2" s="2"/>
      <c r="E2" s="3"/>
      <c r="F2" s="3"/>
      <c r="G2" s="3"/>
      <c r="H2" s="3"/>
      <c r="I2" s="3"/>
      <c r="J2" s="3"/>
      <c r="K2" s="5"/>
    </row>
    <row r="3" spans="1:11" ht="16.8" x14ac:dyDescent="0.3">
      <c r="A3" s="16"/>
      <c r="B3" s="2"/>
      <c r="C3" s="2"/>
      <c r="D3" s="2"/>
      <c r="E3" s="3"/>
      <c r="F3" s="3"/>
      <c r="G3" s="3"/>
      <c r="H3" s="3"/>
      <c r="I3" s="3"/>
      <c r="J3" s="3"/>
      <c r="K3" s="5"/>
    </row>
    <row r="4" spans="1:11" s="1" customFormat="1" ht="16.8" x14ac:dyDescent="0.3">
      <c r="A4" s="16"/>
      <c r="B4" s="35"/>
      <c r="C4" s="35"/>
      <c r="D4" s="35"/>
      <c r="E4" s="35"/>
      <c r="F4" s="35"/>
      <c r="G4" s="35"/>
      <c r="H4" s="35"/>
      <c r="I4" s="35"/>
      <c r="J4" s="35"/>
      <c r="K4" s="39"/>
    </row>
    <row r="5" spans="1:11" ht="16.8" x14ac:dyDescent="0.3">
      <c r="A5" s="16" t="s">
        <v>40</v>
      </c>
      <c r="B5" s="2"/>
      <c r="C5" s="2"/>
      <c r="D5" s="2"/>
      <c r="F5" s="3"/>
      <c r="G5" s="3"/>
      <c r="H5" s="3"/>
      <c r="I5" s="3"/>
      <c r="J5" s="35"/>
      <c r="K5" s="39"/>
    </row>
    <row r="6" spans="1:11" x14ac:dyDescent="0.25">
      <c r="A6" s="2"/>
      <c r="B6" s="2"/>
      <c r="C6" s="2"/>
      <c r="D6" s="2"/>
      <c r="E6" s="33" t="s">
        <v>43</v>
      </c>
      <c r="F6" s="3"/>
      <c r="G6" s="3"/>
      <c r="H6" s="3"/>
      <c r="I6" s="3"/>
      <c r="J6" s="3"/>
      <c r="K6" s="5"/>
    </row>
    <row r="7" spans="1:11" x14ac:dyDescent="0.25">
      <c r="A7" s="3"/>
      <c r="B7" s="8" t="s">
        <v>48</v>
      </c>
      <c r="C7" s="8" t="s">
        <v>48</v>
      </c>
      <c r="D7" s="8"/>
      <c r="E7" s="8" t="s">
        <v>13</v>
      </c>
      <c r="F7" s="8" t="s">
        <v>49</v>
      </c>
      <c r="G7" s="33" t="s">
        <v>4</v>
      </c>
      <c r="H7" s="33" t="s">
        <v>21</v>
      </c>
      <c r="I7" s="33" t="s">
        <v>44</v>
      </c>
      <c r="J7" s="35" t="s">
        <v>4</v>
      </c>
      <c r="K7" s="3"/>
    </row>
    <row r="8" spans="1:11" x14ac:dyDescent="0.25">
      <c r="A8" s="3" t="s">
        <v>10</v>
      </c>
      <c r="B8" s="8" t="s">
        <v>16</v>
      </c>
      <c r="C8" s="8" t="s">
        <v>4</v>
      </c>
      <c r="D8" s="8" t="s">
        <v>12</v>
      </c>
      <c r="E8" s="8" t="s">
        <v>50</v>
      </c>
      <c r="F8" s="8" t="s">
        <v>51</v>
      </c>
      <c r="G8" s="33" t="s">
        <v>49</v>
      </c>
      <c r="H8" s="33" t="s">
        <v>31</v>
      </c>
      <c r="I8" s="33" t="s">
        <v>45</v>
      </c>
      <c r="J8" s="35" t="s">
        <v>49</v>
      </c>
      <c r="K8" s="3"/>
    </row>
    <row r="9" spans="1:11" x14ac:dyDescent="0.25">
      <c r="A9" s="3" t="s">
        <v>20</v>
      </c>
      <c r="B9" s="33" t="s">
        <v>39</v>
      </c>
      <c r="C9" s="33" t="s">
        <v>49</v>
      </c>
      <c r="D9" s="8" t="s">
        <v>23</v>
      </c>
      <c r="E9" s="8" t="s">
        <v>52</v>
      </c>
      <c r="F9" s="8" t="s">
        <v>52</v>
      </c>
      <c r="G9" s="33" t="s">
        <v>55</v>
      </c>
      <c r="H9" s="33"/>
      <c r="I9" s="37"/>
      <c r="J9" s="35" t="s">
        <v>55</v>
      </c>
      <c r="K9" s="3"/>
    </row>
    <row r="10" spans="1:11" x14ac:dyDescent="0.25">
      <c r="A10" s="3"/>
      <c r="B10" s="33"/>
      <c r="C10" s="33"/>
      <c r="D10" s="8"/>
      <c r="E10" s="8"/>
      <c r="F10" s="8"/>
      <c r="G10" s="33" t="s">
        <v>36</v>
      </c>
      <c r="H10" s="37"/>
      <c r="I10" s="40">
        <v>1</v>
      </c>
      <c r="J10" s="35" t="s">
        <v>38</v>
      </c>
      <c r="K10" s="3"/>
    </row>
    <row r="11" spans="1:11" x14ac:dyDescent="0.25">
      <c r="A11" s="3">
        <f>1</f>
        <v>1</v>
      </c>
      <c r="B11" s="18">
        <f>'Q1 b(i) Solutions'!Q11</f>
        <v>26720.899922330096</v>
      </c>
      <c r="C11" s="13">
        <f>B11*'Q1 b(i) Solutions'!H11</f>
        <v>0</v>
      </c>
      <c r="D11" s="5">
        <f>'Q1 b(i) Solutions'!F11</f>
        <v>0.05</v>
      </c>
      <c r="E11" s="14">
        <f>1</f>
        <v>1</v>
      </c>
      <c r="F11" s="14">
        <f>C20*E21/SUM(E11:E20)</f>
        <v>2740.2631728072088</v>
      </c>
      <c r="G11" s="14">
        <f>F11*(1+D11)</f>
        <v>2877.2763314475692</v>
      </c>
      <c r="H11" s="41">
        <f>15%</f>
        <v>0.15</v>
      </c>
      <c r="I11" s="42">
        <f>I10*(1-H11)</f>
        <v>0.85</v>
      </c>
      <c r="J11" s="18">
        <f>G11*I11</f>
        <v>2445.684881730434</v>
      </c>
      <c r="K11" s="3"/>
    </row>
    <row r="12" spans="1:11" x14ac:dyDescent="0.25">
      <c r="A12" s="3">
        <f>A11+1</f>
        <v>2</v>
      </c>
      <c r="B12" s="18">
        <f>'Q1 b(i) Solutions'!Q12</f>
        <v>64153.85294383677</v>
      </c>
      <c r="C12" s="13">
        <f>B12*'Q1 b(i) Solutions'!H12</f>
        <v>0</v>
      </c>
      <c r="D12" s="5">
        <f>D11</f>
        <v>0.05</v>
      </c>
      <c r="E12" s="14">
        <f>E11/(1+D12)</f>
        <v>0.95238095238095233</v>
      </c>
      <c r="F12" s="14">
        <f>F11</f>
        <v>2740.2631728072088</v>
      </c>
      <c r="G12" s="36">
        <f>(G11+F12)*(1+D12)</f>
        <v>5898.4164794675171</v>
      </c>
      <c r="H12" s="41">
        <f>10%</f>
        <v>0.1</v>
      </c>
      <c r="I12" s="42">
        <f t="shared" ref="I12:I20" si="0">I11*(1-H12)</f>
        <v>0.76500000000000001</v>
      </c>
      <c r="J12" s="47">
        <f t="shared" ref="J12:J20" si="1">G12*I12</f>
        <v>4512.2886067926511</v>
      </c>
      <c r="K12" s="3"/>
    </row>
    <row r="13" spans="1:11" x14ac:dyDescent="0.25">
      <c r="A13" s="3">
        <f t="shared" ref="A13:A20" si="2">A12+1</f>
        <v>3</v>
      </c>
      <c r="B13" s="18">
        <f>'Q1 b(i) Solutions'!Q13</f>
        <v>102307.14736297395</v>
      </c>
      <c r="C13" s="13">
        <f>B13*'Q1 b(i) Solutions'!H13</f>
        <v>0</v>
      </c>
      <c r="D13" s="5">
        <f t="shared" ref="D13:D21" si="3">D12</f>
        <v>0.05</v>
      </c>
      <c r="E13" s="14">
        <f t="shared" ref="E13:E21" si="4">E12/(1+D13)</f>
        <v>0.90702947845804982</v>
      </c>
      <c r="F13" s="14">
        <f t="shared" ref="F13:F19" si="5">F12</f>
        <v>2740.2631728072088</v>
      </c>
      <c r="G13" s="14">
        <f t="shared" ref="G13:G19" si="6">(G12+F13)*(1+D13)</f>
        <v>9070.6136348884629</v>
      </c>
      <c r="H13" s="41">
        <f>10%</f>
        <v>0.1</v>
      </c>
      <c r="I13" s="42">
        <f t="shared" si="0"/>
        <v>0.6885</v>
      </c>
      <c r="J13" s="18">
        <f t="shared" si="1"/>
        <v>6245.1174876207069</v>
      </c>
      <c r="K13" s="3"/>
    </row>
    <row r="14" spans="1:11" x14ac:dyDescent="0.25">
      <c r="A14" s="3">
        <f t="shared" si="2"/>
        <v>4</v>
      </c>
      <c r="B14" s="18">
        <f>'Q1 b(i) Solutions'!Q14</f>
        <v>141516.15825581385</v>
      </c>
      <c r="C14" s="13">
        <f>B14*'Q1 b(i) Solutions'!H14</f>
        <v>0</v>
      </c>
      <c r="D14" s="5">
        <f t="shared" si="3"/>
        <v>0.05</v>
      </c>
      <c r="E14" s="14">
        <f t="shared" si="4"/>
        <v>0.86383759853147601</v>
      </c>
      <c r="F14" s="14">
        <f t="shared" si="5"/>
        <v>2740.2631728072088</v>
      </c>
      <c r="G14" s="14">
        <f t="shared" si="6"/>
        <v>12401.420648080455</v>
      </c>
      <c r="H14" s="41">
        <f>10%</f>
        <v>0.1</v>
      </c>
      <c r="I14" s="42">
        <f t="shared" si="0"/>
        <v>0.61965000000000003</v>
      </c>
      <c r="J14" s="18">
        <f t="shared" si="1"/>
        <v>7684.5403045830544</v>
      </c>
      <c r="K14" s="3"/>
    </row>
    <row r="15" spans="1:11" x14ac:dyDescent="0.25">
      <c r="A15" s="3">
        <f t="shared" si="2"/>
        <v>5</v>
      </c>
      <c r="B15" s="18">
        <f>'Q1 b(i) Solutions'!Q15</f>
        <v>182121.75445846273</v>
      </c>
      <c r="C15" s="13">
        <f>B15*'Q1 b(i) Solutions'!H15</f>
        <v>0</v>
      </c>
      <c r="D15" s="5">
        <f t="shared" si="3"/>
        <v>0.05</v>
      </c>
      <c r="E15" s="14">
        <f t="shared" si="4"/>
        <v>0.82270247479188185</v>
      </c>
      <c r="F15" s="14">
        <f t="shared" si="5"/>
        <v>2740.2631728072088</v>
      </c>
      <c r="G15" s="14">
        <f t="shared" si="6"/>
        <v>15898.768011932047</v>
      </c>
      <c r="H15" s="41">
        <f>10%</f>
        <v>0.1</v>
      </c>
      <c r="I15" s="42">
        <f t="shared" si="0"/>
        <v>0.5576850000000001</v>
      </c>
      <c r="J15" s="18">
        <f t="shared" si="1"/>
        <v>8866.5044387343241</v>
      </c>
      <c r="K15" s="3"/>
    </row>
    <row r="16" spans="1:11" x14ac:dyDescent="0.25">
      <c r="A16" s="3">
        <f t="shared" si="2"/>
        <v>6</v>
      </c>
      <c r="B16" s="18">
        <f>'Q1 b(i) Solutions'!Q16</f>
        <v>235445.75763253242</v>
      </c>
      <c r="C16" s="13">
        <f>B16*'Q1 b(i) Solutions'!H16</f>
        <v>0</v>
      </c>
      <c r="D16" s="5">
        <f t="shared" si="3"/>
        <v>0.05</v>
      </c>
      <c r="E16" s="14">
        <f t="shared" si="4"/>
        <v>0.78352616646845885</v>
      </c>
      <c r="F16" s="14">
        <f t="shared" si="5"/>
        <v>2740.2631728072088</v>
      </c>
      <c r="G16" s="14">
        <f>(G15+F16)*(1+D16)</f>
        <v>19570.982743976219</v>
      </c>
      <c r="H16" s="41">
        <f>0.05</f>
        <v>0.05</v>
      </c>
      <c r="I16" s="42">
        <f t="shared" si="0"/>
        <v>0.52980075000000004</v>
      </c>
      <c r="J16" s="18">
        <f t="shared" si="1"/>
        <v>10368.72133599566</v>
      </c>
      <c r="K16" s="3"/>
    </row>
    <row r="17" spans="1:11" x14ac:dyDescent="0.25">
      <c r="A17" s="3">
        <f t="shared" si="2"/>
        <v>7</v>
      </c>
      <c r="B17" s="18">
        <f>'Q1 b(i) Solutions'!Q17</f>
        <v>291784.17174314661</v>
      </c>
      <c r="C17" s="13">
        <f>B17*'Q1 b(i) Solutions'!H17</f>
        <v>0</v>
      </c>
      <c r="D17" s="5">
        <f t="shared" si="3"/>
        <v>0.05</v>
      </c>
      <c r="E17" s="14">
        <f t="shared" si="4"/>
        <v>0.74621539663662739</v>
      </c>
      <c r="F17" s="14">
        <f t="shared" si="5"/>
        <v>2740.2631728072088</v>
      </c>
      <c r="G17" s="14">
        <f t="shared" si="6"/>
        <v>23426.8082126226</v>
      </c>
      <c r="H17" s="41">
        <f>0.05</f>
        <v>0.05</v>
      </c>
      <c r="I17" s="42">
        <f t="shared" si="0"/>
        <v>0.50331071250000003</v>
      </c>
      <c r="J17" s="18">
        <f t="shared" si="1"/>
        <v>11790.963533095934</v>
      </c>
      <c r="K17" s="3"/>
    </row>
    <row r="18" spans="1:11" x14ac:dyDescent="0.25">
      <c r="A18" s="3">
        <f t="shared" si="2"/>
        <v>8</v>
      </c>
      <c r="B18" s="18">
        <f>'Q1 b(i) Solutions'!Q18</f>
        <v>351529.08067797247</v>
      </c>
      <c r="C18" s="13">
        <f>B18*'Q1 b(i) Solutions'!H18</f>
        <v>0</v>
      </c>
      <c r="D18" s="5">
        <f t="shared" si="3"/>
        <v>0.05</v>
      </c>
      <c r="E18" s="14">
        <f t="shared" si="4"/>
        <v>0.71068133013012125</v>
      </c>
      <c r="F18" s="14">
        <f t="shared" si="5"/>
        <v>2740.2631728072088</v>
      </c>
      <c r="G18" s="14">
        <f t="shared" si="6"/>
        <v>27475.424954701299</v>
      </c>
      <c r="H18" s="41">
        <f>0.05</f>
        <v>0.05</v>
      </c>
      <c r="I18" s="42">
        <f t="shared" si="0"/>
        <v>0.47814517687500002</v>
      </c>
      <c r="J18" s="18">
        <f t="shared" si="1"/>
        <v>13137.241924681442</v>
      </c>
      <c r="K18" s="3"/>
    </row>
    <row r="19" spans="1:11" x14ac:dyDescent="0.25">
      <c r="A19" s="3">
        <f t="shared" si="2"/>
        <v>9</v>
      </c>
      <c r="B19" s="18">
        <f>'Q1 b(i) Solutions'!Q19</f>
        <v>415041.91091834818</v>
      </c>
      <c r="C19" s="13">
        <f>B19*'Q1 b(i) Solutions'!H19</f>
        <v>0</v>
      </c>
      <c r="D19" s="5">
        <f t="shared" si="3"/>
        <v>0.05</v>
      </c>
      <c r="E19" s="14">
        <f t="shared" si="4"/>
        <v>0.67683936202868689</v>
      </c>
      <c r="F19" s="14">
        <f t="shared" si="5"/>
        <v>2740.2631728072088</v>
      </c>
      <c r="G19" s="14">
        <f t="shared" si="6"/>
        <v>31726.472533883934</v>
      </c>
      <c r="H19" s="41">
        <f>0.05</f>
        <v>0.05</v>
      </c>
      <c r="I19" s="42">
        <f t="shared" si="0"/>
        <v>0.45423791803125002</v>
      </c>
      <c r="J19" s="18">
        <f t="shared" si="1"/>
        <v>14411.366830267076</v>
      </c>
      <c r="K19" s="3"/>
    </row>
    <row r="20" spans="1:11" x14ac:dyDescent="0.25">
      <c r="A20" s="3">
        <f t="shared" si="2"/>
        <v>10</v>
      </c>
      <c r="B20" s="18">
        <f>'Q1 b(i) Solutions'!Q20</f>
        <v>482534.29989367613</v>
      </c>
      <c r="C20" s="13">
        <f>B20*'Q1 b(i) Solutions'!H20</f>
        <v>36190.072492025705</v>
      </c>
      <c r="D20" s="5">
        <f t="shared" si="3"/>
        <v>0.05</v>
      </c>
      <c r="E20" s="14">
        <f>E19/(1+D20)</f>
        <v>0.64460891621779703</v>
      </c>
      <c r="F20" s="14">
        <f>F19</f>
        <v>2740.2631728072088</v>
      </c>
      <c r="G20" s="14">
        <f>(G19+F20)*(1+D20)</f>
        <v>36190.072492025698</v>
      </c>
      <c r="H20" s="41">
        <v>1</v>
      </c>
      <c r="I20" s="42">
        <f t="shared" si="0"/>
        <v>0</v>
      </c>
      <c r="J20" s="18">
        <f t="shared" si="1"/>
        <v>0</v>
      </c>
      <c r="K20" s="3"/>
    </row>
    <row r="21" spans="1:11" x14ac:dyDescent="0.25">
      <c r="A21" s="3">
        <v>11</v>
      </c>
      <c r="B21" s="3"/>
      <c r="C21" s="3"/>
      <c r="D21" s="5">
        <f t="shared" si="3"/>
        <v>0.05</v>
      </c>
      <c r="E21" s="14">
        <f t="shared" si="4"/>
        <v>0.6139132535407591</v>
      </c>
      <c r="F21" s="3"/>
      <c r="G21" s="3"/>
      <c r="H21" s="3"/>
      <c r="I21" s="3"/>
      <c r="J21" s="3"/>
      <c r="K21" s="3"/>
    </row>
    <row r="24" spans="1:11" ht="16.8" x14ac:dyDescent="0.3">
      <c r="A24" s="16" t="s">
        <v>46</v>
      </c>
    </row>
    <row r="26" spans="1:11" x14ac:dyDescent="0.25">
      <c r="A26" s="3"/>
      <c r="B26" s="8" t="s">
        <v>48</v>
      </c>
      <c r="C26" s="8" t="s">
        <v>48</v>
      </c>
      <c r="D26" s="8"/>
      <c r="E26" s="8" t="s">
        <v>13</v>
      </c>
      <c r="F26" s="8" t="s">
        <v>49</v>
      </c>
      <c r="G26" s="33" t="s">
        <v>4</v>
      </c>
      <c r="H26" s="33" t="s">
        <v>21</v>
      </c>
      <c r="I26" s="33" t="s">
        <v>44</v>
      </c>
      <c r="J26" s="35" t="s">
        <v>4</v>
      </c>
    </row>
    <row r="27" spans="1:11" x14ac:dyDescent="0.25">
      <c r="A27" s="3" t="s">
        <v>10</v>
      </c>
      <c r="B27" s="8" t="s">
        <v>16</v>
      </c>
      <c r="C27" s="8" t="s">
        <v>4</v>
      </c>
      <c r="D27" s="8" t="s">
        <v>12</v>
      </c>
      <c r="E27" s="8" t="s">
        <v>50</v>
      </c>
      <c r="F27" s="8" t="s">
        <v>51</v>
      </c>
      <c r="G27" s="33" t="s">
        <v>49</v>
      </c>
      <c r="H27" s="33" t="s">
        <v>31</v>
      </c>
      <c r="I27" s="33" t="s">
        <v>45</v>
      </c>
      <c r="J27" s="35" t="s">
        <v>49</v>
      </c>
    </row>
    <row r="28" spans="1:11" x14ac:dyDescent="0.25">
      <c r="A28" s="3" t="s">
        <v>20</v>
      </c>
      <c r="B28" s="33" t="s">
        <v>39</v>
      </c>
      <c r="C28" s="33" t="s">
        <v>49</v>
      </c>
      <c r="D28" s="8" t="s">
        <v>23</v>
      </c>
      <c r="E28" s="8" t="s">
        <v>52</v>
      </c>
      <c r="F28" s="8" t="s">
        <v>52</v>
      </c>
      <c r="G28" s="33" t="s">
        <v>55</v>
      </c>
      <c r="H28" s="33"/>
      <c r="I28" s="37"/>
      <c r="J28" s="35" t="s">
        <v>55</v>
      </c>
    </row>
    <row r="29" spans="1:11" x14ac:dyDescent="0.25">
      <c r="A29" s="3"/>
      <c r="B29" s="33" t="s">
        <v>54</v>
      </c>
      <c r="C29" s="33" t="s">
        <v>54</v>
      </c>
      <c r="D29" s="8"/>
      <c r="E29" s="8"/>
      <c r="F29" s="8"/>
      <c r="G29" s="33" t="s">
        <v>36</v>
      </c>
      <c r="H29" s="37"/>
      <c r="I29" s="45">
        <v>1000</v>
      </c>
      <c r="J29" s="35" t="s">
        <v>38</v>
      </c>
    </row>
    <row r="30" spans="1:11" x14ac:dyDescent="0.25">
      <c r="A30" s="3">
        <f>1</f>
        <v>1</v>
      </c>
      <c r="B30" s="18">
        <f>'Q1 b(i) Solutions'!Q28</f>
        <v>26.720899922330098</v>
      </c>
      <c r="C30" s="13">
        <f>B30*'Q1 b(i) Solutions'!H28</f>
        <v>0</v>
      </c>
      <c r="D30" s="5">
        <f>'Q1 b(i) Solutions'!F30</f>
        <v>0.05</v>
      </c>
      <c r="E30" s="14">
        <f>1</f>
        <v>1</v>
      </c>
      <c r="F30" s="14">
        <f>C39*E40/SUM(E30:E39)</f>
        <v>2.7402631728072087</v>
      </c>
      <c r="G30" s="14">
        <f>F30*(1+D30)</f>
        <v>2.8772763314475691</v>
      </c>
      <c r="H30" s="41">
        <f>15%</f>
        <v>0.15</v>
      </c>
      <c r="I30" s="46">
        <f>I29*(1-H30)</f>
        <v>850</v>
      </c>
      <c r="J30" s="18">
        <f>G30*I30</f>
        <v>2445.684881730434</v>
      </c>
    </row>
    <row r="31" spans="1:11" x14ac:dyDescent="0.25">
      <c r="A31" s="3">
        <f>A30+1</f>
        <v>2</v>
      </c>
      <c r="B31" s="18">
        <f>'Q1 b(i) Solutions'!Q29</f>
        <v>64.153852943836768</v>
      </c>
      <c r="C31" s="13">
        <f>B31*'Q1 b(i) Solutions'!H29</f>
        <v>0</v>
      </c>
      <c r="D31" s="5">
        <f>D30</f>
        <v>0.05</v>
      </c>
      <c r="E31" s="14">
        <f>E30/(1+D31)</f>
        <v>0.95238095238095233</v>
      </c>
      <c r="F31" s="14">
        <f>F30</f>
        <v>2.7402631728072087</v>
      </c>
      <c r="G31" s="36">
        <f>(G30+F31)*(1+D31)</f>
        <v>5.8984164794675165</v>
      </c>
      <c r="H31" s="41">
        <f>10%</f>
        <v>0.1</v>
      </c>
      <c r="I31" s="46">
        <f t="shared" ref="I31:I39" si="7">I30*(1-H31)</f>
        <v>765</v>
      </c>
      <c r="J31" s="47">
        <f>G31*I31</f>
        <v>4512.2886067926502</v>
      </c>
    </row>
    <row r="32" spans="1:11" x14ac:dyDescent="0.25">
      <c r="A32" s="3">
        <f t="shared" ref="A32:A39" si="8">A31+1</f>
        <v>3</v>
      </c>
      <c r="B32" s="18">
        <f>'Q1 b(i) Solutions'!Q30</f>
        <v>102.30714736297395</v>
      </c>
      <c r="C32" s="13">
        <f>B32*'Q1 b(i) Solutions'!H30</f>
        <v>0</v>
      </c>
      <c r="D32" s="5">
        <f t="shared" ref="D32:D40" si="9">D31</f>
        <v>0.05</v>
      </c>
      <c r="E32" s="14">
        <f t="shared" ref="E32:E38" si="10">E31/(1+D32)</f>
        <v>0.90702947845804982</v>
      </c>
      <c r="F32" s="14">
        <f t="shared" ref="F32:F38" si="11">F31</f>
        <v>2.7402631728072087</v>
      </c>
      <c r="G32" s="14">
        <f t="shared" ref="G32:G38" si="12">(G31+F32)*(1+D32)</f>
        <v>9.0706136348884616</v>
      </c>
      <c r="H32" s="41">
        <f>10%</f>
        <v>0.1</v>
      </c>
      <c r="I32" s="46">
        <f t="shared" si="7"/>
        <v>688.5</v>
      </c>
      <c r="J32" s="18">
        <f t="shared" ref="J32:J39" si="13">G32*I32</f>
        <v>6245.117487620706</v>
      </c>
    </row>
    <row r="33" spans="1:10" x14ac:dyDescent="0.25">
      <c r="A33" s="3">
        <f t="shared" si="8"/>
        <v>4</v>
      </c>
      <c r="B33" s="18">
        <f>'Q1 b(i) Solutions'!Q31</f>
        <v>141.51615825581385</v>
      </c>
      <c r="C33" s="13">
        <f>B33*'Q1 b(i) Solutions'!H31</f>
        <v>0</v>
      </c>
      <c r="D33" s="5">
        <f t="shared" si="9"/>
        <v>0.05</v>
      </c>
      <c r="E33" s="14">
        <f t="shared" si="10"/>
        <v>0.86383759853147601</v>
      </c>
      <c r="F33" s="14">
        <f>F32</f>
        <v>2.7402631728072087</v>
      </c>
      <c r="G33" s="14">
        <f t="shared" si="12"/>
        <v>12.401420648080455</v>
      </c>
      <c r="H33" s="41">
        <f>10%</f>
        <v>0.1</v>
      </c>
      <c r="I33" s="46">
        <f t="shared" si="7"/>
        <v>619.65</v>
      </c>
      <c r="J33" s="18">
        <f t="shared" si="13"/>
        <v>7684.5403045830535</v>
      </c>
    </row>
    <row r="34" spans="1:10" x14ac:dyDescent="0.25">
      <c r="A34" s="3">
        <f t="shared" si="8"/>
        <v>5</v>
      </c>
      <c r="B34" s="18">
        <f>'Q1 b(i) Solutions'!Q32</f>
        <v>182.12175445846273</v>
      </c>
      <c r="C34" s="13">
        <f>B34*'Q1 b(i) Solutions'!H32</f>
        <v>0</v>
      </c>
      <c r="D34" s="5">
        <f t="shared" si="9"/>
        <v>0.05</v>
      </c>
      <c r="E34" s="14">
        <f t="shared" si="10"/>
        <v>0.82270247479188185</v>
      </c>
      <c r="F34" s="14">
        <f t="shared" si="11"/>
        <v>2.7402631728072087</v>
      </c>
      <c r="G34" s="14">
        <f t="shared" si="12"/>
        <v>15.898768011932049</v>
      </c>
      <c r="H34" s="41">
        <f>10%</f>
        <v>0.1</v>
      </c>
      <c r="I34" s="46">
        <f t="shared" si="7"/>
        <v>557.68499999999995</v>
      </c>
      <c r="J34" s="18">
        <f t="shared" si="13"/>
        <v>8866.5044387343241</v>
      </c>
    </row>
    <row r="35" spans="1:10" x14ac:dyDescent="0.25">
      <c r="A35" s="3">
        <f t="shared" si="8"/>
        <v>6</v>
      </c>
      <c r="B35" s="18">
        <f>'Q1 b(i) Solutions'!Q33</f>
        <v>235.44575763253243</v>
      </c>
      <c r="C35" s="13">
        <f>B35*'Q1 b(i) Solutions'!H33</f>
        <v>0</v>
      </c>
      <c r="D35" s="5">
        <f t="shared" si="9"/>
        <v>0.05</v>
      </c>
      <c r="E35" s="14">
        <f t="shared" si="10"/>
        <v>0.78352616646845885</v>
      </c>
      <c r="F35" s="14">
        <f t="shared" si="11"/>
        <v>2.7402631728072087</v>
      </c>
      <c r="G35" s="14">
        <f t="shared" si="12"/>
        <v>19.57098274397622</v>
      </c>
      <c r="H35" s="41">
        <f>0.05</f>
        <v>0.05</v>
      </c>
      <c r="I35" s="46">
        <f t="shared" si="7"/>
        <v>529.80074999999988</v>
      </c>
      <c r="J35" s="18">
        <f t="shared" si="13"/>
        <v>10368.721335995657</v>
      </c>
    </row>
    <row r="36" spans="1:10" x14ac:dyDescent="0.25">
      <c r="A36" s="3">
        <f t="shared" si="8"/>
        <v>7</v>
      </c>
      <c r="B36" s="18">
        <f>'Q1 b(i) Solutions'!Q34</f>
        <v>291.78417174314666</v>
      </c>
      <c r="C36" s="13">
        <f>B36*'Q1 b(i) Solutions'!H34</f>
        <v>0</v>
      </c>
      <c r="D36" s="5">
        <f t="shared" si="9"/>
        <v>0.05</v>
      </c>
      <c r="E36" s="14">
        <f t="shared" si="10"/>
        <v>0.74621539663662739</v>
      </c>
      <c r="F36" s="14">
        <f t="shared" si="11"/>
        <v>2.7402631728072087</v>
      </c>
      <c r="G36" s="14">
        <f t="shared" si="12"/>
        <v>23.4268082126226</v>
      </c>
      <c r="H36" s="41">
        <f>0.05</f>
        <v>0.05</v>
      </c>
      <c r="I36" s="46">
        <f t="shared" si="7"/>
        <v>503.31071249999985</v>
      </c>
      <c r="J36" s="18">
        <f t="shared" si="13"/>
        <v>11790.963533095928</v>
      </c>
    </row>
    <row r="37" spans="1:10" x14ac:dyDescent="0.25">
      <c r="A37" s="3">
        <f t="shared" si="8"/>
        <v>8</v>
      </c>
      <c r="B37" s="18">
        <f>'Q1 b(i) Solutions'!Q35</f>
        <v>351.5290806779725</v>
      </c>
      <c r="C37" s="13">
        <f>B37*'Q1 b(i) Solutions'!H35</f>
        <v>0</v>
      </c>
      <c r="D37" s="5">
        <f t="shared" si="9"/>
        <v>0.05</v>
      </c>
      <c r="E37" s="14">
        <f t="shared" si="10"/>
        <v>0.71068133013012125</v>
      </c>
      <c r="F37" s="14">
        <f t="shared" si="11"/>
        <v>2.7402631728072087</v>
      </c>
      <c r="G37" s="14">
        <f t="shared" si="12"/>
        <v>27.4754249547013</v>
      </c>
      <c r="H37" s="41">
        <f>0.05</f>
        <v>0.05</v>
      </c>
      <c r="I37" s="46">
        <f t="shared" si="7"/>
        <v>478.14517687499983</v>
      </c>
      <c r="J37" s="18">
        <f t="shared" si="13"/>
        <v>13137.241924681437</v>
      </c>
    </row>
    <row r="38" spans="1:10" x14ac:dyDescent="0.25">
      <c r="A38" s="3">
        <f t="shared" si="8"/>
        <v>9</v>
      </c>
      <c r="B38" s="18">
        <f>'Q1 b(i) Solutions'!Q36</f>
        <v>415.04191091834821</v>
      </c>
      <c r="C38" s="13">
        <f>B38*'Q1 b(i) Solutions'!H36</f>
        <v>0</v>
      </c>
      <c r="D38" s="5">
        <f t="shared" si="9"/>
        <v>0.05</v>
      </c>
      <c r="E38" s="14">
        <f t="shared" si="10"/>
        <v>0.67683936202868689</v>
      </c>
      <c r="F38" s="14">
        <f t="shared" si="11"/>
        <v>2.7402631728072087</v>
      </c>
      <c r="G38" s="14">
        <f t="shared" si="12"/>
        <v>31.726472533883932</v>
      </c>
      <c r="H38" s="41">
        <f>0.05</f>
        <v>0.05</v>
      </c>
      <c r="I38" s="46">
        <f t="shared" si="7"/>
        <v>454.23791803124982</v>
      </c>
      <c r="J38" s="18">
        <f t="shared" si="13"/>
        <v>14411.366830267069</v>
      </c>
    </row>
    <row r="39" spans="1:10" x14ac:dyDescent="0.25">
      <c r="A39" s="3">
        <f t="shared" si="8"/>
        <v>10</v>
      </c>
      <c r="B39" s="18">
        <f>'Q1 b(i) Solutions'!Q37</f>
        <v>482.53429989367612</v>
      </c>
      <c r="C39" s="13">
        <f>B39*'Q1 b(i) Solutions'!H37</f>
        <v>36.190072492025706</v>
      </c>
      <c r="D39" s="5">
        <f t="shared" si="9"/>
        <v>0.05</v>
      </c>
      <c r="E39" s="14">
        <f>E38/(1+D39)</f>
        <v>0.64460891621779703</v>
      </c>
      <c r="F39" s="14">
        <f>F38</f>
        <v>2.7402631728072087</v>
      </c>
      <c r="G39" s="14">
        <f>(G38+F39)*(1+D39)</f>
        <v>36.190072492025699</v>
      </c>
      <c r="H39" s="41">
        <v>1</v>
      </c>
      <c r="I39" s="46">
        <f t="shared" si="7"/>
        <v>0</v>
      </c>
      <c r="J39" s="18">
        <f t="shared" si="13"/>
        <v>0</v>
      </c>
    </row>
    <row r="40" spans="1:10" x14ac:dyDescent="0.25">
      <c r="A40" s="3">
        <v>11</v>
      </c>
      <c r="B40" s="3"/>
      <c r="C40" s="3"/>
      <c r="D40" s="5">
        <f t="shared" si="9"/>
        <v>0.05</v>
      </c>
      <c r="E40" s="14">
        <f t="shared" ref="E40" si="14">E39/(1+D40)</f>
        <v>0.6139132535407591</v>
      </c>
      <c r="F40" s="3"/>
      <c r="G40" s="3"/>
      <c r="H40" s="3"/>
      <c r="I40" s="3"/>
      <c r="J40" s="3"/>
    </row>
    <row r="43" spans="1:10" ht="16.8" x14ac:dyDescent="0.3">
      <c r="A43" s="16" t="s">
        <v>41</v>
      </c>
      <c r="B43" s="2"/>
      <c r="C43" s="2"/>
      <c r="D43" s="2"/>
      <c r="F43" s="3"/>
      <c r="G43" s="3"/>
      <c r="H43" s="3"/>
      <c r="I43" s="3"/>
      <c r="J43" s="3"/>
    </row>
    <row r="44" spans="1:10" x14ac:dyDescent="0.25">
      <c r="A44" s="2"/>
      <c r="B44" s="2"/>
      <c r="C44" s="2"/>
      <c r="D44" s="2"/>
      <c r="E44" s="33" t="s">
        <v>43</v>
      </c>
      <c r="F44" s="3"/>
      <c r="G44" s="3"/>
      <c r="H44" s="3"/>
      <c r="I44" s="3"/>
      <c r="J44" s="3"/>
    </row>
    <row r="45" spans="1:10" x14ac:dyDescent="0.25">
      <c r="A45" s="3"/>
      <c r="B45" s="8" t="s">
        <v>48</v>
      </c>
      <c r="C45" s="8" t="s">
        <v>48</v>
      </c>
      <c r="D45" s="8"/>
      <c r="E45" s="8" t="s">
        <v>13</v>
      </c>
      <c r="F45" s="8" t="s">
        <v>49</v>
      </c>
      <c r="G45" s="33" t="s">
        <v>4</v>
      </c>
      <c r="H45" s="33" t="s">
        <v>21</v>
      </c>
      <c r="I45" s="33" t="s">
        <v>44</v>
      </c>
      <c r="J45" s="35" t="s">
        <v>4</v>
      </c>
    </row>
    <row r="46" spans="1:10" x14ac:dyDescent="0.25">
      <c r="A46" s="3" t="s">
        <v>10</v>
      </c>
      <c r="B46" s="8" t="s">
        <v>16</v>
      </c>
      <c r="C46" s="8" t="s">
        <v>4</v>
      </c>
      <c r="D46" s="8" t="s">
        <v>12</v>
      </c>
      <c r="E46" s="8" t="s">
        <v>50</v>
      </c>
      <c r="F46" s="8" t="s">
        <v>51</v>
      </c>
      <c r="G46" s="33" t="s">
        <v>49</v>
      </c>
      <c r="H46" s="33" t="s">
        <v>31</v>
      </c>
      <c r="I46" s="33" t="s">
        <v>45</v>
      </c>
      <c r="J46" s="35" t="s">
        <v>49</v>
      </c>
    </row>
    <row r="47" spans="1:10" x14ac:dyDescent="0.25">
      <c r="A47" s="3" t="s">
        <v>20</v>
      </c>
      <c r="B47" s="33" t="s">
        <v>39</v>
      </c>
      <c r="C47" s="33" t="s">
        <v>49</v>
      </c>
      <c r="D47" s="8" t="s">
        <v>23</v>
      </c>
      <c r="E47" s="8" t="s">
        <v>52</v>
      </c>
      <c r="F47" s="8" t="s">
        <v>52</v>
      </c>
      <c r="G47" s="33" t="s">
        <v>55</v>
      </c>
      <c r="H47" s="33"/>
      <c r="I47" s="37"/>
      <c r="J47" s="35" t="s">
        <v>55</v>
      </c>
    </row>
    <row r="48" spans="1:10" x14ac:dyDescent="0.25">
      <c r="A48" s="3"/>
      <c r="B48" s="33" t="s">
        <v>54</v>
      </c>
      <c r="C48" s="33" t="s">
        <v>54</v>
      </c>
      <c r="D48" s="8"/>
      <c r="E48" s="8"/>
      <c r="F48" s="8"/>
      <c r="G48" s="33" t="s">
        <v>36</v>
      </c>
      <c r="H48" s="37"/>
      <c r="I48" s="40">
        <v>1</v>
      </c>
      <c r="J48" s="35" t="s">
        <v>38</v>
      </c>
    </row>
    <row r="49" spans="1:10" x14ac:dyDescent="0.25">
      <c r="A49" s="3">
        <f>1</f>
        <v>1</v>
      </c>
      <c r="B49" s="18">
        <f>'Q1 b(i) Solutions'!Q45</f>
        <v>26711.113514563105</v>
      </c>
      <c r="C49" s="18">
        <f>B49*'Q1 b(i) Solutions'!H45</f>
        <v>0</v>
      </c>
      <c r="D49" s="5">
        <f>'Q1 b(i) Solutions'!F45</f>
        <v>0.05</v>
      </c>
      <c r="E49" s="14">
        <f>1</f>
        <v>1</v>
      </c>
      <c r="F49" s="14">
        <f>C58*E59/SUM(E49:E58)</f>
        <v>2716.2835266346401</v>
      </c>
      <c r="G49" s="14">
        <f>F49*(1+D49)</f>
        <v>2852.0977029663723</v>
      </c>
      <c r="H49" s="41">
        <f>15%</f>
        <v>0.15</v>
      </c>
      <c r="I49" s="42">
        <f>I48*(1-H49)</f>
        <v>0.85</v>
      </c>
      <c r="J49" s="18">
        <f>G49*I49</f>
        <v>2424.2830475214164</v>
      </c>
    </row>
    <row r="50" spans="1:10" x14ac:dyDescent="0.25">
      <c r="A50" s="3">
        <f>A49+1</f>
        <v>2</v>
      </c>
      <c r="B50" s="18">
        <f>'Q1 b(i) Solutions'!Q46</f>
        <v>64104.544602943562</v>
      </c>
      <c r="C50" s="18">
        <f>B50*'Q1 b(i) Solutions'!H46</f>
        <v>0</v>
      </c>
      <c r="D50" s="5">
        <f>'Q1 b(i) Solutions'!F46</f>
        <v>0.05</v>
      </c>
      <c r="E50" s="14">
        <f>E49/(1+D50)</f>
        <v>0.95238095238095233</v>
      </c>
      <c r="F50" s="14">
        <f>F49</f>
        <v>2716.2835266346401</v>
      </c>
      <c r="G50" s="36">
        <f>(G49+F50)*(1+D50)</f>
        <v>5846.8002910810637</v>
      </c>
      <c r="H50" s="41">
        <f>10%</f>
        <v>0.1</v>
      </c>
      <c r="I50" s="42">
        <f t="shared" ref="I50:I58" si="15">I49*(1-H50)</f>
        <v>0.76500000000000001</v>
      </c>
      <c r="J50" s="47">
        <f t="shared" ref="J50:J58" si="16">G50*I50</f>
        <v>4472.8022226770136</v>
      </c>
    </row>
    <row r="51" spans="1:10" x14ac:dyDescent="0.25">
      <c r="A51" s="3">
        <f t="shared" ref="A51:A58" si="17">A50+1</f>
        <v>3</v>
      </c>
      <c r="B51" s="18">
        <f>'Q1 b(i) Solutions'!Q47</f>
        <v>102157.45563635156</v>
      </c>
      <c r="C51" s="18">
        <f>B51*'Q1 b(i) Solutions'!H47</f>
        <v>0</v>
      </c>
      <c r="D51" s="5">
        <f>'Q1 b(i) Solutions'!F47</f>
        <v>0.05</v>
      </c>
      <c r="E51" s="14">
        <f t="shared" ref="E51:E57" si="18">E50/(1+D51)</f>
        <v>0.90702947845804982</v>
      </c>
      <c r="F51" s="14">
        <f t="shared" ref="F51:F57" si="19">F50</f>
        <v>2716.2835266346401</v>
      </c>
      <c r="G51" s="14">
        <f t="shared" ref="G51:G57" si="20">(G50+F51)*(1+D51)</f>
        <v>8991.2380086014891</v>
      </c>
      <c r="H51" s="41">
        <f>10%</f>
        <v>0.1</v>
      </c>
      <c r="I51" s="42">
        <f t="shared" si="15"/>
        <v>0.6885</v>
      </c>
      <c r="J51" s="18">
        <f t="shared" si="16"/>
        <v>6190.4673689221254</v>
      </c>
    </row>
    <row r="52" spans="1:10" x14ac:dyDescent="0.25">
      <c r="A52" s="3">
        <f t="shared" si="17"/>
        <v>4</v>
      </c>
      <c r="B52" s="18">
        <f>'Q1 b(i) Solutions'!Q48</f>
        <v>141171.14650277441</v>
      </c>
      <c r="C52" s="18">
        <f>B52*'Q1 b(i) Solutions'!H48</f>
        <v>0</v>
      </c>
      <c r="D52" s="5">
        <f>'Q1 b(i) Solutions'!F48</f>
        <v>0.05</v>
      </c>
      <c r="E52" s="14">
        <f t="shared" si="18"/>
        <v>0.86383759853147601</v>
      </c>
      <c r="F52" s="14">
        <f t="shared" si="19"/>
        <v>2716.2835266346401</v>
      </c>
      <c r="G52" s="14">
        <f t="shared" si="20"/>
        <v>12292.897611997938</v>
      </c>
      <c r="H52" s="41">
        <f>10%</f>
        <v>0.1</v>
      </c>
      <c r="I52" s="42">
        <f t="shared" si="15"/>
        <v>0.61965000000000003</v>
      </c>
      <c r="J52" s="18">
        <f t="shared" si="16"/>
        <v>7617.2940052745225</v>
      </c>
    </row>
    <row r="53" spans="1:10" x14ac:dyDescent="0.25">
      <c r="A53" s="3">
        <f t="shared" si="17"/>
        <v>5</v>
      </c>
      <c r="B53" s="18">
        <f>'Q1 b(i) Solutions'!Q49</f>
        <v>181452.74677702441</v>
      </c>
      <c r="C53" s="18">
        <f>B53*'Q1 b(i) Solutions'!H49</f>
        <v>0</v>
      </c>
      <c r="D53" s="5">
        <f>'Q1 b(i) Solutions'!F49</f>
        <v>0.05</v>
      </c>
      <c r="E53" s="14">
        <f t="shared" si="18"/>
        <v>0.82270247479188185</v>
      </c>
      <c r="F53" s="14">
        <f t="shared" si="19"/>
        <v>2716.2835266346401</v>
      </c>
      <c r="G53" s="14">
        <f t="shared" si="20"/>
        <v>15759.640195564209</v>
      </c>
      <c r="H53" s="41">
        <f>10%</f>
        <v>0.1</v>
      </c>
      <c r="I53" s="42">
        <f t="shared" si="15"/>
        <v>0.5576850000000001</v>
      </c>
      <c r="J53" s="18">
        <f t="shared" si="16"/>
        <v>8788.9149424632269</v>
      </c>
    </row>
    <row r="54" spans="1:10" x14ac:dyDescent="0.25">
      <c r="A54" s="3">
        <f t="shared" si="17"/>
        <v>6</v>
      </c>
      <c r="B54" s="18">
        <f>'Q1 b(i) Solutions'!Q50</f>
        <v>234319.97880379297</v>
      </c>
      <c r="C54" s="18">
        <f>B54*'Q1 b(i) Solutions'!H50</f>
        <v>0</v>
      </c>
      <c r="D54" s="5">
        <f>'Q1 b(i) Solutions'!F50</f>
        <v>0.05</v>
      </c>
      <c r="E54" s="14">
        <f t="shared" si="18"/>
        <v>0.78352616646845885</v>
      </c>
      <c r="F54" s="14">
        <f t="shared" si="19"/>
        <v>2716.2835266346401</v>
      </c>
      <c r="G54" s="14">
        <f t="shared" si="20"/>
        <v>19399.719908308791</v>
      </c>
      <c r="H54" s="41">
        <f>0.05</f>
        <v>0.05</v>
      </c>
      <c r="I54" s="42">
        <f t="shared" si="15"/>
        <v>0.52980075000000004</v>
      </c>
      <c r="J54" s="18">
        <f t="shared" si="16"/>
        <v>10277.98615721193</v>
      </c>
    </row>
    <row r="55" spans="1:10" x14ac:dyDescent="0.25">
      <c r="A55" s="3">
        <f t="shared" si="17"/>
        <v>7</v>
      </c>
      <c r="B55" s="18">
        <f>'Q1 b(i) Solutions'!Q51</f>
        <v>290058.16166665719</v>
      </c>
      <c r="C55" s="18">
        <f>B55*'Q1 b(i) Solutions'!H51</f>
        <v>0</v>
      </c>
      <c r="D55" s="5">
        <f>'Q1 b(i) Solutions'!F51</f>
        <v>0.05</v>
      </c>
      <c r="E55" s="14">
        <f t="shared" si="18"/>
        <v>0.74621539663662739</v>
      </c>
      <c r="F55" s="14">
        <f t="shared" si="19"/>
        <v>2716.2835266346401</v>
      </c>
      <c r="G55" s="14">
        <f t="shared" si="20"/>
        <v>23221.803606690606</v>
      </c>
      <c r="H55" s="41">
        <f>0.05</f>
        <v>0.05</v>
      </c>
      <c r="I55" s="42">
        <f t="shared" si="15"/>
        <v>0.50331071250000003</v>
      </c>
      <c r="J55" s="18">
        <f t="shared" si="16"/>
        <v>11687.78251881852</v>
      </c>
    </row>
    <row r="56" spans="1:10" x14ac:dyDescent="0.25">
      <c r="A56" s="3">
        <f t="shared" si="17"/>
        <v>8</v>
      </c>
      <c r="B56" s="18">
        <f>'Q1 b(i) Solutions'!Q52</f>
        <v>349069.32047193649</v>
      </c>
      <c r="C56" s="18">
        <f>B56*'Q1 b(i) Solutions'!H52</f>
        <v>0</v>
      </c>
      <c r="D56" s="5">
        <f>'Q1 b(i) Solutions'!F52</f>
        <v>0.05</v>
      </c>
      <c r="E56" s="14">
        <f t="shared" si="18"/>
        <v>0.71068133013012125</v>
      </c>
      <c r="F56" s="14">
        <f t="shared" si="19"/>
        <v>2716.2835266346401</v>
      </c>
      <c r="G56" s="14">
        <f t="shared" si="20"/>
        <v>27234.991489991509</v>
      </c>
      <c r="H56" s="41">
        <f>0.05</f>
        <v>0.05</v>
      </c>
      <c r="I56" s="42">
        <f t="shared" si="15"/>
        <v>0.47814517687500002</v>
      </c>
      <c r="J56" s="18">
        <f t="shared" si="16"/>
        <v>13022.279823171111</v>
      </c>
    </row>
    <row r="57" spans="1:10" x14ac:dyDescent="0.25">
      <c r="A57" s="3">
        <f t="shared" si="17"/>
        <v>9</v>
      </c>
      <c r="B57" s="18">
        <f>'Q1 b(i) Solutions'!Q53</f>
        <v>411741.84041777632</v>
      </c>
      <c r="C57" s="18">
        <f>B57*'Q1 b(i) Solutions'!H53</f>
        <v>0</v>
      </c>
      <c r="D57" s="5">
        <f>'Q1 b(i) Solutions'!F53</f>
        <v>0.05</v>
      </c>
      <c r="E57" s="14">
        <f t="shared" si="18"/>
        <v>0.67683936202868689</v>
      </c>
      <c r="F57" s="14">
        <f t="shared" si="19"/>
        <v>2716.2835266346401</v>
      </c>
      <c r="G57" s="14">
        <f t="shared" si="20"/>
        <v>31448.838767457459</v>
      </c>
      <c r="H57" s="41">
        <f>0.05</f>
        <v>0.05</v>
      </c>
      <c r="I57" s="42">
        <f t="shared" si="15"/>
        <v>0.45423791803125002</v>
      </c>
      <c r="J57" s="18">
        <f t="shared" si="16"/>
        <v>14285.255046230339</v>
      </c>
    </row>
    <row r="58" spans="1:10" x14ac:dyDescent="0.25">
      <c r="A58" s="3">
        <f t="shared" si="17"/>
        <v>10</v>
      </c>
      <c r="B58" s="18">
        <f>'Q1 b(i) Solutions'!Q54</f>
        <v>478311.71211728948</v>
      </c>
      <c r="C58" s="18">
        <f>B58*'Q1 b(i) Solutions'!H54</f>
        <v>35873.378408796707</v>
      </c>
      <c r="D58" s="5">
        <f>'Q1 b(i) Solutions'!F54</f>
        <v>0.05</v>
      </c>
      <c r="E58" s="14">
        <f>E57/(1+D58)</f>
        <v>0.64460891621779703</v>
      </c>
      <c r="F58" s="14">
        <f>F57</f>
        <v>2716.2835266346401</v>
      </c>
      <c r="G58" s="14">
        <f>(G57+F58)*(1+D58)</f>
        <v>35873.378408796707</v>
      </c>
      <c r="H58" s="41">
        <v>1</v>
      </c>
      <c r="I58" s="42">
        <f t="shared" si="15"/>
        <v>0</v>
      </c>
      <c r="J58" s="18">
        <f t="shared" si="16"/>
        <v>0</v>
      </c>
    </row>
    <row r="59" spans="1:10" x14ac:dyDescent="0.25">
      <c r="A59" s="3">
        <v>11</v>
      </c>
      <c r="B59" s="3"/>
      <c r="C59" s="3"/>
      <c r="D59" s="5">
        <v>0.05</v>
      </c>
      <c r="E59" s="14">
        <f t="shared" ref="E59" si="21">E58/(1+D59)</f>
        <v>0.6139132535407591</v>
      </c>
      <c r="F59" s="3"/>
      <c r="G59" s="3"/>
      <c r="H59" s="3"/>
      <c r="I59" s="3"/>
      <c r="J59" s="3"/>
    </row>
    <row r="62" spans="1:10" ht="16.8" x14ac:dyDescent="0.3">
      <c r="A62" s="16" t="s">
        <v>42</v>
      </c>
    </row>
    <row r="64" spans="1:10" x14ac:dyDescent="0.25">
      <c r="A64" s="3"/>
      <c r="B64" s="8" t="s">
        <v>48</v>
      </c>
      <c r="C64" s="8" t="s">
        <v>48</v>
      </c>
      <c r="D64" s="8"/>
      <c r="E64" s="8" t="s">
        <v>13</v>
      </c>
      <c r="F64" s="8" t="s">
        <v>49</v>
      </c>
      <c r="G64" s="33" t="s">
        <v>4</v>
      </c>
      <c r="H64" s="33" t="s">
        <v>21</v>
      </c>
      <c r="I64" s="33" t="s">
        <v>44</v>
      </c>
      <c r="J64" s="35" t="s">
        <v>4</v>
      </c>
    </row>
    <row r="65" spans="1:10" x14ac:dyDescent="0.25">
      <c r="A65" s="3" t="s">
        <v>10</v>
      </c>
      <c r="B65" s="8" t="s">
        <v>16</v>
      </c>
      <c r="C65" s="8" t="s">
        <v>4</v>
      </c>
      <c r="D65" s="8" t="s">
        <v>12</v>
      </c>
      <c r="E65" s="8" t="s">
        <v>50</v>
      </c>
      <c r="F65" s="8" t="s">
        <v>51</v>
      </c>
      <c r="G65" s="33" t="s">
        <v>49</v>
      </c>
      <c r="H65" s="33" t="s">
        <v>31</v>
      </c>
      <c r="I65" s="33" t="s">
        <v>45</v>
      </c>
      <c r="J65" s="35" t="s">
        <v>49</v>
      </c>
    </row>
    <row r="66" spans="1:10" x14ac:dyDescent="0.25">
      <c r="A66" s="3" t="s">
        <v>20</v>
      </c>
      <c r="B66" s="33" t="s">
        <v>39</v>
      </c>
      <c r="C66" s="33" t="s">
        <v>49</v>
      </c>
      <c r="D66" s="8" t="s">
        <v>23</v>
      </c>
      <c r="E66" s="8" t="s">
        <v>52</v>
      </c>
      <c r="F66" s="8" t="s">
        <v>52</v>
      </c>
      <c r="G66" s="33" t="s">
        <v>55</v>
      </c>
      <c r="H66" s="33"/>
      <c r="I66" s="37"/>
      <c r="J66" s="35" t="s">
        <v>55</v>
      </c>
    </row>
    <row r="67" spans="1:10" x14ac:dyDescent="0.25">
      <c r="A67" s="3"/>
      <c r="B67" s="33" t="s">
        <v>54</v>
      </c>
      <c r="C67" s="33" t="s">
        <v>54</v>
      </c>
      <c r="D67" s="8"/>
      <c r="E67" s="8"/>
      <c r="F67" s="8"/>
      <c r="G67" s="33" t="s">
        <v>36</v>
      </c>
      <c r="H67" s="37"/>
      <c r="I67" s="43">
        <v>1000</v>
      </c>
      <c r="J67" s="35" t="s">
        <v>38</v>
      </c>
    </row>
    <row r="68" spans="1:10" x14ac:dyDescent="0.25">
      <c r="A68" s="3">
        <f>1</f>
        <v>1</v>
      </c>
      <c r="B68" s="18">
        <f>'Q1 b(i) Solutions'!Q62</f>
        <v>26.711113514563106</v>
      </c>
      <c r="C68" s="18">
        <f>B68*'Q1 b(i) Solutions'!H62</f>
        <v>0</v>
      </c>
      <c r="D68" s="5">
        <f>'Q1 b(i) Solutions'!F62</f>
        <v>0.05</v>
      </c>
      <c r="E68" s="14">
        <f>1</f>
        <v>1</v>
      </c>
      <c r="F68" s="14">
        <f>C77*E78/SUM(E68:E77)</f>
        <v>2.7162835266346401</v>
      </c>
      <c r="G68" s="14">
        <f>F68*(1+D68)</f>
        <v>2.8520977029663723</v>
      </c>
      <c r="H68" s="41">
        <f>15%</f>
        <v>0.15</v>
      </c>
      <c r="I68" s="44">
        <f>I67*(1-H68)</f>
        <v>850</v>
      </c>
      <c r="J68" s="18">
        <f>G68*I68</f>
        <v>2424.2830475214164</v>
      </c>
    </row>
    <row r="69" spans="1:10" x14ac:dyDescent="0.25">
      <c r="A69" s="3">
        <f>A68+1</f>
        <v>2</v>
      </c>
      <c r="B69" s="18">
        <f>'Q1 b(i) Solutions'!Q63</f>
        <v>64.104544602943562</v>
      </c>
      <c r="C69" s="18">
        <f>B69*'Q1 b(i) Solutions'!H63</f>
        <v>0</v>
      </c>
      <c r="D69" s="5">
        <f>D68</f>
        <v>0.05</v>
      </c>
      <c r="E69" s="14">
        <f>E68/(1+D69)</f>
        <v>0.95238095238095233</v>
      </c>
      <c r="F69" s="14">
        <f>F68</f>
        <v>2.7162835266346401</v>
      </c>
      <c r="G69" s="36">
        <f>(G68+F69)*(1+D69)</f>
        <v>5.8468002910810632</v>
      </c>
      <c r="H69" s="41">
        <f>10%</f>
        <v>0.1</v>
      </c>
      <c r="I69" s="44">
        <f t="shared" ref="I69:I77" si="22">I68*(1-H69)</f>
        <v>765</v>
      </c>
      <c r="J69" s="47">
        <f t="shared" ref="J69:J77" si="23">G69*I69</f>
        <v>4472.8022226770136</v>
      </c>
    </row>
    <row r="70" spans="1:10" x14ac:dyDescent="0.25">
      <c r="A70" s="3">
        <f t="shared" ref="A70:A77" si="24">A69+1</f>
        <v>3</v>
      </c>
      <c r="B70" s="18">
        <f>'Q1 b(i) Solutions'!Q64</f>
        <v>102.15745563635156</v>
      </c>
      <c r="C70" s="18">
        <f>B70*'Q1 b(i) Solutions'!H64</f>
        <v>0</v>
      </c>
      <c r="D70" s="5">
        <f t="shared" ref="D70:D78" si="25">D69</f>
        <v>0.05</v>
      </c>
      <c r="E70" s="14">
        <f t="shared" ref="E70:E76" si="26">E69/(1+D70)</f>
        <v>0.90702947845804982</v>
      </c>
      <c r="F70" s="14">
        <f t="shared" ref="F70:F76" si="27">F69</f>
        <v>2.7162835266346401</v>
      </c>
      <c r="G70" s="14">
        <f t="shared" ref="G70:G76" si="28">(G69+F70)*(1+D70)</f>
        <v>8.9912380086014903</v>
      </c>
      <c r="H70" s="41">
        <f>10%</f>
        <v>0.1</v>
      </c>
      <c r="I70" s="44">
        <f t="shared" si="22"/>
        <v>688.5</v>
      </c>
      <c r="J70" s="18">
        <f t="shared" si="23"/>
        <v>6190.4673689221263</v>
      </c>
    </row>
    <row r="71" spans="1:10" x14ac:dyDescent="0.25">
      <c r="A71" s="3">
        <f t="shared" si="24"/>
        <v>4</v>
      </c>
      <c r="B71" s="18">
        <f>'Q1 b(i) Solutions'!Q65</f>
        <v>141.17114650277441</v>
      </c>
      <c r="C71" s="18">
        <f>B71*'Q1 b(i) Solutions'!H65</f>
        <v>0</v>
      </c>
      <c r="D71" s="5">
        <f t="shared" si="25"/>
        <v>0.05</v>
      </c>
      <c r="E71" s="14">
        <f t="shared" si="26"/>
        <v>0.86383759853147601</v>
      </c>
      <c r="F71" s="14">
        <f t="shared" si="27"/>
        <v>2.7162835266346401</v>
      </c>
      <c r="G71" s="14">
        <f t="shared" si="28"/>
        <v>12.292897611997939</v>
      </c>
      <c r="H71" s="41">
        <f>10%</f>
        <v>0.1</v>
      </c>
      <c r="I71" s="44">
        <f t="shared" si="22"/>
        <v>619.65</v>
      </c>
      <c r="J71" s="18">
        <f t="shared" si="23"/>
        <v>7617.2940052745225</v>
      </c>
    </row>
    <row r="72" spans="1:10" x14ac:dyDescent="0.25">
      <c r="A72" s="3">
        <f t="shared" si="24"/>
        <v>5</v>
      </c>
      <c r="B72" s="18">
        <f>'Q1 b(i) Solutions'!Q66</f>
        <v>181.4527467770244</v>
      </c>
      <c r="C72" s="18">
        <f>B72*'Q1 b(i) Solutions'!H66</f>
        <v>0</v>
      </c>
      <c r="D72" s="5">
        <f t="shared" si="25"/>
        <v>0.05</v>
      </c>
      <c r="E72" s="14">
        <f t="shared" si="26"/>
        <v>0.82270247479188185</v>
      </c>
      <c r="F72" s="14">
        <f t="shared" si="27"/>
        <v>2.7162835266346401</v>
      </c>
      <c r="G72" s="14">
        <f t="shared" si="28"/>
        <v>15.759640195564209</v>
      </c>
      <c r="H72" s="41">
        <f>10%</f>
        <v>0.1</v>
      </c>
      <c r="I72" s="44">
        <f t="shared" si="22"/>
        <v>557.68499999999995</v>
      </c>
      <c r="J72" s="18">
        <f t="shared" si="23"/>
        <v>8788.9149424632251</v>
      </c>
    </row>
    <row r="73" spans="1:10" x14ac:dyDescent="0.25">
      <c r="A73" s="3">
        <f t="shared" si="24"/>
        <v>6</v>
      </c>
      <c r="B73" s="18">
        <f>'Q1 b(i) Solutions'!Q67</f>
        <v>234.31997880379296</v>
      </c>
      <c r="C73" s="18">
        <f>B73*'Q1 b(i) Solutions'!H67</f>
        <v>0</v>
      </c>
      <c r="D73" s="5">
        <f t="shared" si="25"/>
        <v>0.05</v>
      </c>
      <c r="E73" s="14">
        <f t="shared" si="26"/>
        <v>0.78352616646845885</v>
      </c>
      <c r="F73" s="14">
        <f t="shared" si="27"/>
        <v>2.7162835266346401</v>
      </c>
      <c r="G73" s="14">
        <f t="shared" si="28"/>
        <v>19.399719908308793</v>
      </c>
      <c r="H73" s="41">
        <f>0.05</f>
        <v>0.05</v>
      </c>
      <c r="I73" s="44">
        <f t="shared" si="22"/>
        <v>529.80074999999988</v>
      </c>
      <c r="J73" s="18">
        <f t="shared" si="23"/>
        <v>10277.986157211928</v>
      </c>
    </row>
    <row r="74" spans="1:10" x14ac:dyDescent="0.25">
      <c r="A74" s="3">
        <f t="shared" si="24"/>
        <v>7</v>
      </c>
      <c r="B74" s="18">
        <f>'Q1 b(i) Solutions'!Q68</f>
        <v>290.05816166665721</v>
      </c>
      <c r="C74" s="18">
        <f>B74*'Q1 b(i) Solutions'!H68</f>
        <v>0</v>
      </c>
      <c r="D74" s="5">
        <f t="shared" si="25"/>
        <v>0.05</v>
      </c>
      <c r="E74" s="14">
        <f t="shared" si="26"/>
        <v>0.74621539663662739</v>
      </c>
      <c r="F74" s="14">
        <f t="shared" si="27"/>
        <v>2.7162835266346401</v>
      </c>
      <c r="G74" s="14">
        <f t="shared" si="28"/>
        <v>23.221803606690607</v>
      </c>
      <c r="H74" s="41">
        <f>0.05</f>
        <v>0.05</v>
      </c>
      <c r="I74" s="44">
        <f t="shared" si="22"/>
        <v>503.31071249999985</v>
      </c>
      <c r="J74" s="18">
        <f t="shared" si="23"/>
        <v>11687.782518818516</v>
      </c>
    </row>
    <row r="75" spans="1:10" x14ac:dyDescent="0.25">
      <c r="A75" s="3">
        <f t="shared" si="24"/>
        <v>8</v>
      </c>
      <c r="B75" s="18">
        <f>'Q1 b(i) Solutions'!Q69</f>
        <v>349.06932047193646</v>
      </c>
      <c r="C75" s="18">
        <f>B75*'Q1 b(i) Solutions'!H69</f>
        <v>0</v>
      </c>
      <c r="D75" s="5">
        <f t="shared" si="25"/>
        <v>0.05</v>
      </c>
      <c r="E75" s="14">
        <f t="shared" si="26"/>
        <v>0.71068133013012125</v>
      </c>
      <c r="F75" s="14">
        <f t="shared" si="27"/>
        <v>2.7162835266346401</v>
      </c>
      <c r="G75" s="14">
        <f t="shared" si="28"/>
        <v>27.234991489991511</v>
      </c>
      <c r="H75" s="41">
        <f>0.05</f>
        <v>0.05</v>
      </c>
      <c r="I75" s="44">
        <f t="shared" si="22"/>
        <v>478.14517687499983</v>
      </c>
      <c r="J75" s="18">
        <f t="shared" si="23"/>
        <v>13022.279823171106</v>
      </c>
    </row>
    <row r="76" spans="1:10" x14ac:dyDescent="0.25">
      <c r="A76" s="3">
        <f t="shared" si="24"/>
        <v>9</v>
      </c>
      <c r="B76" s="18">
        <f>'Q1 b(i) Solutions'!Q70</f>
        <v>411.74184041777625</v>
      </c>
      <c r="C76" s="18">
        <f>B76*'Q1 b(i) Solutions'!H70</f>
        <v>0</v>
      </c>
      <c r="D76" s="5">
        <f t="shared" si="25"/>
        <v>0.05</v>
      </c>
      <c r="E76" s="14">
        <f t="shared" si="26"/>
        <v>0.67683936202868689</v>
      </c>
      <c r="F76" s="14">
        <f t="shared" si="27"/>
        <v>2.7162835266346401</v>
      </c>
      <c r="G76" s="14">
        <f t="shared" si="28"/>
        <v>31.44883876745746</v>
      </c>
      <c r="H76" s="41">
        <f>0.05</f>
        <v>0.05</v>
      </c>
      <c r="I76" s="44">
        <f t="shared" si="22"/>
        <v>454.23791803124982</v>
      </c>
      <c r="J76" s="18">
        <f t="shared" si="23"/>
        <v>14285.255046230333</v>
      </c>
    </row>
    <row r="77" spans="1:10" x14ac:dyDescent="0.25">
      <c r="A77" s="3">
        <f t="shared" si="24"/>
        <v>10</v>
      </c>
      <c r="B77" s="18">
        <f>'Q1 b(i) Solutions'!Q71</f>
        <v>478.3117121172894</v>
      </c>
      <c r="C77" s="18">
        <f>B77*'Q1 b(i) Solutions'!H71</f>
        <v>35.873378408796704</v>
      </c>
      <c r="D77" s="5">
        <f t="shared" si="25"/>
        <v>0.05</v>
      </c>
      <c r="E77" s="14">
        <f>E76/(1+D77)</f>
        <v>0.64460891621779703</v>
      </c>
      <c r="F77" s="14">
        <f>F76</f>
        <v>2.7162835266346401</v>
      </c>
      <c r="G77" s="14">
        <f>(G76+F77)*(1+D77)</f>
        <v>35.873378408796704</v>
      </c>
      <c r="H77" s="41">
        <v>1</v>
      </c>
      <c r="I77" s="44">
        <f t="shared" si="22"/>
        <v>0</v>
      </c>
      <c r="J77" s="18">
        <f t="shared" si="23"/>
        <v>0</v>
      </c>
    </row>
    <row r="78" spans="1:10" x14ac:dyDescent="0.25">
      <c r="A78" s="3">
        <v>11</v>
      </c>
      <c r="B78" s="3"/>
      <c r="C78" s="3"/>
      <c r="D78" s="5">
        <f t="shared" si="25"/>
        <v>0.05</v>
      </c>
      <c r="E78" s="14">
        <f t="shared" ref="E78" si="29">E77/(1+D78)</f>
        <v>0.6139132535407591</v>
      </c>
      <c r="F78" s="3"/>
      <c r="G78" s="3"/>
      <c r="H78" s="3"/>
      <c r="I78" s="3"/>
      <c r="J78" s="3"/>
    </row>
    <row r="79" spans="1:10" x14ac:dyDescent="0.25">
      <c r="D79" s="5"/>
    </row>
  </sheetData>
  <pageMargins left="0.7" right="0.7" top="0.75" bottom="0.75" header="0.3" footer="0.3"/>
  <headerFooter>
    <oddFooter>&amp;C_x000D_&amp;1#&amp;"Calibri"&amp;10&amp;K000000 CONFIDENTIAL</oddFooter>
  </headerFooter>
  <customProperties>
    <customPr name="_pios_id" r:id="rId1"/>
  </customProperties>
  <ignoredErrors>
    <ignoredError sqref="E12:E21 E31:E40 E69:E7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47F6E-BF96-4670-97E0-49151DC1F182}">
  <dimension ref="A1:S40"/>
  <sheetViews>
    <sheetView showGridLines="0" workbookViewId="0">
      <selection activeCell="I13" sqref="I13"/>
    </sheetView>
  </sheetViews>
  <sheetFormatPr defaultRowHeight="13.2" x14ac:dyDescent="0.25"/>
  <cols>
    <col min="2" max="2" width="11.44140625" customWidth="1"/>
    <col min="3" max="3" width="10.88671875" customWidth="1"/>
    <col min="4" max="4" width="11.5546875" customWidth="1"/>
    <col min="5" max="5" width="10.44140625" customWidth="1"/>
    <col min="6" max="6" width="10.109375" customWidth="1"/>
    <col min="7" max="7" width="15.44140625" customWidth="1"/>
    <col min="8" max="8" width="11.33203125" customWidth="1"/>
    <col min="9" max="9" width="10.88671875" customWidth="1"/>
    <col min="10" max="10" width="17.109375" customWidth="1"/>
    <col min="17" max="19" width="10.5546875" customWidth="1"/>
  </cols>
  <sheetData>
    <row r="1" spans="1:19" x14ac:dyDescent="0.25">
      <c r="A1" s="1" t="s">
        <v>68</v>
      </c>
    </row>
    <row r="2" spans="1:19" ht="16.8" x14ac:dyDescent="0.3">
      <c r="A2" s="48" t="s">
        <v>56</v>
      </c>
      <c r="B2" s="1"/>
      <c r="C2" s="1"/>
      <c r="D2" s="1"/>
      <c r="K2" s="49"/>
    </row>
    <row r="3" spans="1:19" ht="16.8" x14ac:dyDescent="0.3">
      <c r="A3" s="48"/>
      <c r="B3" s="1"/>
      <c r="C3" s="1"/>
      <c r="D3" s="1"/>
      <c r="K3" s="49"/>
    </row>
    <row r="4" spans="1:19" s="1" customFormat="1" ht="16.8" x14ac:dyDescent="0.3">
      <c r="A4" s="48"/>
      <c r="B4" s="50"/>
      <c r="C4" s="50"/>
      <c r="D4" s="50"/>
      <c r="E4" s="50"/>
      <c r="F4" s="50"/>
      <c r="G4" s="50"/>
      <c r="H4" s="50"/>
      <c r="I4" s="50"/>
      <c r="J4" s="61"/>
      <c r="K4" s="51"/>
    </row>
    <row r="5" spans="1:19" s="1" customFormat="1" ht="16.8" x14ac:dyDescent="0.3">
      <c r="A5" s="48"/>
      <c r="B5" s="50"/>
      <c r="C5" s="50"/>
      <c r="D5" s="50"/>
      <c r="E5" s="50"/>
      <c r="F5" s="50"/>
      <c r="G5" s="50"/>
      <c r="H5" s="50"/>
      <c r="I5" s="50"/>
      <c r="K5" s="51"/>
    </row>
    <row r="6" spans="1:19" ht="16.8" x14ac:dyDescent="0.3">
      <c r="A6" s="48" t="s">
        <v>69</v>
      </c>
    </row>
    <row r="8" spans="1:19" x14ac:dyDescent="0.25">
      <c r="B8" s="52" t="s">
        <v>32</v>
      </c>
      <c r="C8" s="53" t="s">
        <v>32</v>
      </c>
      <c r="D8" s="53" t="s">
        <v>58</v>
      </c>
      <c r="E8" s="52" t="s">
        <v>21</v>
      </c>
      <c r="F8" s="53" t="s">
        <v>1</v>
      </c>
      <c r="G8" s="52" t="s">
        <v>59</v>
      </c>
      <c r="H8" s="52" t="s">
        <v>59</v>
      </c>
      <c r="I8" s="52" t="s">
        <v>58</v>
      </c>
      <c r="J8" s="50"/>
      <c r="L8" s="52"/>
      <c r="M8" s="53"/>
      <c r="N8" s="53"/>
      <c r="O8" s="52"/>
      <c r="P8" s="53"/>
      <c r="Q8" s="52"/>
      <c r="R8" s="52"/>
      <c r="S8" s="52"/>
    </row>
    <row r="9" spans="1:19" x14ac:dyDescent="0.25">
      <c r="A9" t="s">
        <v>10</v>
      </c>
      <c r="B9" s="52" t="s">
        <v>15</v>
      </c>
      <c r="C9" s="53" t="s">
        <v>57</v>
      </c>
      <c r="D9" s="53" t="s">
        <v>28</v>
      </c>
      <c r="E9" s="52" t="s">
        <v>31</v>
      </c>
      <c r="F9" s="53" t="s">
        <v>9</v>
      </c>
      <c r="G9" s="52" t="s">
        <v>52</v>
      </c>
      <c r="H9" s="52"/>
      <c r="I9" s="52" t="s">
        <v>60</v>
      </c>
      <c r="J9" s="50"/>
      <c r="L9" s="52"/>
      <c r="M9" s="53"/>
      <c r="N9" s="53"/>
      <c r="O9" s="52"/>
      <c r="P9" s="53"/>
      <c r="Q9" s="52"/>
      <c r="R9" s="52"/>
      <c r="S9" s="52"/>
    </row>
    <row r="10" spans="1:19" x14ac:dyDescent="0.25">
      <c r="A10" t="s">
        <v>20</v>
      </c>
      <c r="B10" s="52" t="s">
        <v>28</v>
      </c>
      <c r="C10" s="52" t="s">
        <v>58</v>
      </c>
      <c r="D10" s="53"/>
      <c r="E10" s="52"/>
      <c r="F10" s="53" t="s">
        <v>20</v>
      </c>
      <c r="G10" s="52"/>
      <c r="H10" s="52"/>
      <c r="I10" s="52" t="s">
        <v>55</v>
      </c>
      <c r="J10" s="50"/>
      <c r="L10" s="52"/>
      <c r="M10" s="52"/>
      <c r="N10" s="53"/>
      <c r="O10" s="52"/>
      <c r="P10" s="53"/>
      <c r="Q10" s="52"/>
      <c r="R10" s="52"/>
      <c r="S10" s="52"/>
    </row>
    <row r="11" spans="1:19" x14ac:dyDescent="0.25">
      <c r="B11" s="52"/>
      <c r="C11" s="52" t="s">
        <v>28</v>
      </c>
      <c r="D11" s="53"/>
      <c r="E11" s="37"/>
      <c r="F11" s="56">
        <v>1</v>
      </c>
      <c r="G11" s="57"/>
      <c r="H11" s="37"/>
      <c r="I11" s="57">
        <v>0</v>
      </c>
      <c r="J11" s="50"/>
      <c r="L11" s="52"/>
      <c r="M11" s="52"/>
      <c r="N11" s="53"/>
      <c r="O11" s="37"/>
      <c r="P11" s="56"/>
      <c r="Q11" s="57"/>
      <c r="R11" s="37"/>
      <c r="S11" s="57"/>
    </row>
    <row r="12" spans="1:19" x14ac:dyDescent="0.25">
      <c r="A12">
        <f>1</f>
        <v>1</v>
      </c>
      <c r="B12" s="54">
        <f>'Q1 b(i) Solutions'!D62</f>
        <v>30</v>
      </c>
      <c r="C12" s="54">
        <f>B12-$B$21</f>
        <v>20</v>
      </c>
      <c r="D12" s="58">
        <f>C12*'Q1 b(i) Solutions'!$F$2/1000</f>
        <v>20000</v>
      </c>
      <c r="E12" s="55">
        <f>15%</f>
        <v>0.15</v>
      </c>
      <c r="F12" s="36">
        <f>F11*(1-E12)</f>
        <v>0.85</v>
      </c>
      <c r="G12" s="54">
        <f>(I11+D12)/SUM(F11:F$21)</f>
        <v>3102.540728315978</v>
      </c>
      <c r="H12" s="59">
        <f>G12*F11</f>
        <v>3102.540728315978</v>
      </c>
      <c r="I12" s="59">
        <f>I11+D12-H12</f>
        <v>16897.459271684023</v>
      </c>
      <c r="J12" s="54"/>
      <c r="L12" s="54"/>
      <c r="M12" s="54"/>
      <c r="N12" s="58"/>
      <c r="O12" s="55"/>
      <c r="P12" s="36"/>
      <c r="Q12" s="54"/>
      <c r="R12" s="59"/>
      <c r="S12" s="59"/>
    </row>
    <row r="13" spans="1:19" x14ac:dyDescent="0.25">
      <c r="A13">
        <f>A12+1</f>
        <v>2</v>
      </c>
      <c r="B13" s="54">
        <f>'Q1 b(i) Solutions'!D63</f>
        <v>20</v>
      </c>
      <c r="C13" s="54">
        <f t="shared" ref="C13:C21" si="0">B13-$B$21</f>
        <v>10</v>
      </c>
      <c r="D13" s="58">
        <f>C13*'Q1 b(i) Solutions'!$F$2/1000</f>
        <v>10000</v>
      </c>
      <c r="E13" s="55">
        <f>10%</f>
        <v>0.1</v>
      </c>
      <c r="F13" s="36">
        <f t="shared" ref="F13:F21" si="1">F12*(1-E13)</f>
        <v>0.76500000000000001</v>
      </c>
      <c r="G13" s="54">
        <f>(I12+D13)/SUM(F12:F$21)</f>
        <v>4938.6396816746455</v>
      </c>
      <c r="H13" s="59">
        <f>G13*F12</f>
        <v>4197.8437294234482</v>
      </c>
      <c r="I13" s="60">
        <f>I12+D13-H13</f>
        <v>22699.615542260573</v>
      </c>
      <c r="J13" s="54"/>
      <c r="L13" s="54"/>
      <c r="M13" s="54"/>
      <c r="N13" s="58"/>
      <c r="O13" s="55"/>
      <c r="P13" s="36"/>
      <c r="Q13" s="54"/>
      <c r="R13" s="59"/>
      <c r="S13" s="59"/>
    </row>
    <row r="14" spans="1:19" x14ac:dyDescent="0.25">
      <c r="A14">
        <f t="shared" ref="A14:A21" si="2">A13+1</f>
        <v>3</v>
      </c>
      <c r="B14" s="54">
        <f>'Q1 b(i) Solutions'!D64</f>
        <v>20</v>
      </c>
      <c r="C14" s="54">
        <f t="shared" si="0"/>
        <v>10</v>
      </c>
      <c r="D14" s="58">
        <f>C14*'Q1 b(i) Solutions'!$F$2/1000</f>
        <v>10000</v>
      </c>
      <c r="E14" s="55">
        <f>10%</f>
        <v>0.1</v>
      </c>
      <c r="F14" s="36">
        <f t="shared" si="1"/>
        <v>0.6885</v>
      </c>
      <c r="G14" s="54">
        <f>(I13+D14)/SUM(F13:F$21)</f>
        <v>7114.2887240472937</v>
      </c>
      <c r="H14" s="59">
        <f>G14*F13</f>
        <v>5442.4308738961799</v>
      </c>
      <c r="I14" s="59">
        <f t="shared" ref="I14:I21" si="3">I13+D14-H14</f>
        <v>27257.184668364393</v>
      </c>
      <c r="J14" s="54"/>
      <c r="L14" s="54"/>
      <c r="M14" s="54"/>
      <c r="N14" s="58"/>
      <c r="O14" s="55"/>
      <c r="P14" s="36"/>
      <c r="Q14" s="54"/>
      <c r="R14" s="59"/>
      <c r="S14" s="59"/>
    </row>
    <row r="15" spans="1:19" x14ac:dyDescent="0.25">
      <c r="A15">
        <f t="shared" si="2"/>
        <v>4</v>
      </c>
      <c r="B15" s="54">
        <f>'Q1 b(i) Solutions'!D65</f>
        <v>20</v>
      </c>
      <c r="C15" s="54">
        <f t="shared" si="0"/>
        <v>10</v>
      </c>
      <c r="D15" s="58">
        <f>C15*'Q1 b(i) Solutions'!$F$2/1000</f>
        <v>10000</v>
      </c>
      <c r="E15" s="55">
        <f>10%</f>
        <v>0.1</v>
      </c>
      <c r="F15" s="36">
        <f t="shared" si="1"/>
        <v>0.61965000000000003</v>
      </c>
      <c r="G15" s="54">
        <f>(I14+D15)/SUM(F14:F$21)</f>
        <v>9724.3487176255639</v>
      </c>
      <c r="H15" s="59">
        <f>G15*F14</f>
        <v>6695.2140920852007</v>
      </c>
      <c r="I15" s="59">
        <f t="shared" si="3"/>
        <v>30561.970576279196</v>
      </c>
      <c r="J15" s="54"/>
      <c r="L15" s="54"/>
      <c r="M15" s="54"/>
      <c r="N15" s="58"/>
      <c r="O15" s="55"/>
      <c r="P15" s="36"/>
      <c r="Q15" s="54"/>
      <c r="R15" s="59"/>
      <c r="S15" s="59"/>
    </row>
    <row r="16" spans="1:19" x14ac:dyDescent="0.25">
      <c r="A16">
        <f t="shared" si="2"/>
        <v>5</v>
      </c>
      <c r="B16" s="54">
        <f>'Q1 b(i) Solutions'!D66</f>
        <v>20</v>
      </c>
      <c r="C16" s="54">
        <f t="shared" si="0"/>
        <v>10</v>
      </c>
      <c r="D16" s="58">
        <f>C16*'Q1 b(i) Solutions'!$F$2/1000</f>
        <v>10000</v>
      </c>
      <c r="E16" s="55">
        <f>10%</f>
        <v>0.1</v>
      </c>
      <c r="F16" s="36">
        <f t="shared" si="1"/>
        <v>0.5576850000000001</v>
      </c>
      <c r="G16" s="54">
        <f>(I15+D16)/SUM(F15:F$21)</f>
        <v>12906.194827108167</v>
      </c>
      <c r="H16" s="59">
        <f t="shared" ref="H16:H20" si="4">G16*F15</f>
        <v>7997.3236246175766</v>
      </c>
      <c r="I16" s="59">
        <f t="shared" si="3"/>
        <v>32564.646951661623</v>
      </c>
      <c r="J16" s="54"/>
      <c r="L16" s="54"/>
      <c r="M16" s="54"/>
      <c r="N16" s="58"/>
      <c r="O16" s="55"/>
      <c r="P16" s="36"/>
      <c r="Q16" s="54"/>
      <c r="R16" s="59"/>
      <c r="S16" s="59"/>
    </row>
    <row r="17" spans="1:19" x14ac:dyDescent="0.25">
      <c r="A17">
        <f t="shared" si="2"/>
        <v>6</v>
      </c>
      <c r="B17" s="54">
        <f>'Q1 b(i) Solutions'!D67</f>
        <v>10</v>
      </c>
      <c r="C17" s="54">
        <f t="shared" si="0"/>
        <v>0</v>
      </c>
      <c r="D17" s="58">
        <f>C17*'Q1 b(i) Solutions'!$F$2/1000</f>
        <v>0</v>
      </c>
      <c r="E17" s="55">
        <f>0.05</f>
        <v>0.05</v>
      </c>
      <c r="F17" s="36">
        <f t="shared" si="1"/>
        <v>0.52980075000000004</v>
      </c>
      <c r="G17" s="54">
        <f>(I16+D17)/SUM(F16:F$21)</f>
        <v>12906.194827108167</v>
      </c>
      <c r="H17" s="59">
        <f t="shared" si="4"/>
        <v>7197.59126215582</v>
      </c>
      <c r="I17" s="59">
        <f t="shared" si="3"/>
        <v>25367.055689505803</v>
      </c>
      <c r="J17" s="54"/>
      <c r="L17" s="54"/>
      <c r="M17" s="54"/>
      <c r="N17" s="58"/>
      <c r="O17" s="55"/>
      <c r="P17" s="36"/>
      <c r="Q17" s="54"/>
      <c r="R17" s="59"/>
      <c r="S17" s="59"/>
    </row>
    <row r="18" spans="1:19" x14ac:dyDescent="0.25">
      <c r="A18">
        <f t="shared" si="2"/>
        <v>7</v>
      </c>
      <c r="B18" s="54">
        <f>'Q1 b(i) Solutions'!D68</f>
        <v>10</v>
      </c>
      <c r="C18" s="54">
        <f t="shared" si="0"/>
        <v>0</v>
      </c>
      <c r="D18" s="58">
        <f>C18*'Q1 b(i) Solutions'!$F$2/1000</f>
        <v>0</v>
      </c>
      <c r="E18" s="55">
        <f>0.05</f>
        <v>0.05</v>
      </c>
      <c r="F18" s="36">
        <f t="shared" si="1"/>
        <v>0.50331071250000003</v>
      </c>
      <c r="G18" s="54">
        <f>(I17+D18)/SUM(F17:F$21)</f>
        <v>12906.194827108167</v>
      </c>
      <c r="H18" s="59">
        <f t="shared" si="4"/>
        <v>6837.7116990480281</v>
      </c>
      <c r="I18" s="59">
        <f>I17+D18-H18</f>
        <v>18529.343990457775</v>
      </c>
      <c r="J18" s="54"/>
      <c r="L18" s="54"/>
      <c r="M18" s="54"/>
      <c r="N18" s="58"/>
      <c r="O18" s="55"/>
      <c r="P18" s="36"/>
      <c r="Q18" s="54"/>
      <c r="R18" s="59"/>
      <c r="S18" s="59"/>
    </row>
    <row r="19" spans="1:19" x14ac:dyDescent="0.25">
      <c r="A19">
        <f t="shared" si="2"/>
        <v>8</v>
      </c>
      <c r="B19" s="54">
        <f>'Q1 b(i) Solutions'!D69</f>
        <v>10</v>
      </c>
      <c r="C19" s="54">
        <f t="shared" si="0"/>
        <v>0</v>
      </c>
      <c r="D19" s="58">
        <f>C19*'Q1 b(i) Solutions'!$F$2/1000</f>
        <v>0</v>
      </c>
      <c r="E19" s="55">
        <f>0.05</f>
        <v>0.05</v>
      </c>
      <c r="F19" s="36">
        <f t="shared" si="1"/>
        <v>0.47814517687500002</v>
      </c>
      <c r="G19" s="54">
        <f>(I18+D19)/SUM(F18:F$21)</f>
        <v>12906.194827108169</v>
      </c>
      <c r="H19" s="59">
        <f t="shared" si="4"/>
        <v>6495.8261140956274</v>
      </c>
      <c r="I19" s="59">
        <f t="shared" si="3"/>
        <v>12033.517876362148</v>
      </c>
      <c r="J19" s="54"/>
      <c r="L19" s="54"/>
      <c r="M19" s="54"/>
      <c r="N19" s="58"/>
      <c r="O19" s="55"/>
      <c r="P19" s="36"/>
      <c r="Q19" s="54"/>
      <c r="R19" s="59"/>
      <c r="S19" s="59"/>
    </row>
    <row r="20" spans="1:19" x14ac:dyDescent="0.25">
      <c r="A20">
        <f t="shared" si="2"/>
        <v>9</v>
      </c>
      <c r="B20" s="54">
        <f>'Q1 b(i) Solutions'!D70</f>
        <v>10</v>
      </c>
      <c r="C20" s="54">
        <f t="shared" si="0"/>
        <v>0</v>
      </c>
      <c r="D20" s="58">
        <f>C20*'Q1 b(i) Solutions'!$F$2/1000</f>
        <v>0</v>
      </c>
      <c r="E20" s="55">
        <f>0.05</f>
        <v>0.05</v>
      </c>
      <c r="F20" s="36">
        <f t="shared" si="1"/>
        <v>0.45423791803125002</v>
      </c>
      <c r="G20" s="54">
        <f>(I19+D20)/SUM(F19:F$21)</f>
        <v>12906.194827108167</v>
      </c>
      <c r="H20" s="59">
        <f t="shared" si="4"/>
        <v>6171.0348083908448</v>
      </c>
      <c r="I20" s="59">
        <f t="shared" si="3"/>
        <v>5862.4830679713032</v>
      </c>
      <c r="J20" s="54"/>
      <c r="L20" s="54"/>
      <c r="M20" s="54"/>
      <c r="N20" s="58"/>
      <c r="O20" s="55"/>
      <c r="P20" s="36"/>
      <c r="Q20" s="54"/>
      <c r="R20" s="59"/>
      <c r="S20" s="59"/>
    </row>
    <row r="21" spans="1:19" x14ac:dyDescent="0.25">
      <c r="A21">
        <f t="shared" si="2"/>
        <v>10</v>
      </c>
      <c r="B21" s="54">
        <f>'Q1 b(i) Solutions'!D71</f>
        <v>10</v>
      </c>
      <c r="C21" s="54">
        <f t="shared" si="0"/>
        <v>0</v>
      </c>
      <c r="D21" s="58">
        <f>C21*'Q1 b(i) Solutions'!$F$2/1000</f>
        <v>0</v>
      </c>
      <c r="E21" s="55">
        <v>1</v>
      </c>
      <c r="F21" s="36">
        <f t="shared" si="1"/>
        <v>0</v>
      </c>
      <c r="G21" s="54">
        <f>(I20+D21)/SUM(F20:F$21)</f>
        <v>12906.194827108167</v>
      </c>
      <c r="H21" s="59">
        <f>G21*F20</f>
        <v>5862.4830679713032</v>
      </c>
      <c r="I21" s="59">
        <f t="shared" si="3"/>
        <v>0</v>
      </c>
      <c r="J21" s="54"/>
      <c r="L21" s="54"/>
      <c r="M21" s="54"/>
      <c r="N21" s="58"/>
      <c r="O21" s="55"/>
      <c r="P21" s="36"/>
      <c r="Q21" s="54"/>
      <c r="R21" s="59"/>
      <c r="S21" s="59"/>
    </row>
    <row r="22" spans="1:19" x14ac:dyDescent="0.25">
      <c r="A22">
        <v>11</v>
      </c>
      <c r="D22" s="54"/>
      <c r="E22" s="36"/>
      <c r="H22" s="54"/>
      <c r="N22" s="54"/>
      <c r="O22" s="36"/>
      <c r="R22" s="54"/>
    </row>
    <row r="23" spans="1:19" x14ac:dyDescent="0.25">
      <c r="D23" s="49"/>
      <c r="H23" s="54"/>
    </row>
    <row r="25" spans="1:19" ht="16.8" x14ac:dyDescent="0.3">
      <c r="A25" s="48" t="s">
        <v>62</v>
      </c>
    </row>
    <row r="26" spans="1:19" ht="16.8" x14ac:dyDescent="0.3">
      <c r="A26" s="48"/>
      <c r="C26" s="50"/>
      <c r="D26" s="1"/>
    </row>
    <row r="27" spans="1:19" x14ac:dyDescent="0.25">
      <c r="A27" s="3"/>
      <c r="B27" s="52" t="s">
        <v>63</v>
      </c>
      <c r="C27" s="52" t="s">
        <v>65</v>
      </c>
      <c r="D27" s="52" t="s">
        <v>63</v>
      </c>
      <c r="E27" s="52" t="s">
        <v>65</v>
      </c>
    </row>
    <row r="28" spans="1:19" ht="26.4" x14ac:dyDescent="0.25">
      <c r="A28" s="64" t="s">
        <v>64</v>
      </c>
      <c r="B28" s="69" t="s">
        <v>61</v>
      </c>
      <c r="C28" s="69"/>
      <c r="D28" s="69" t="s">
        <v>66</v>
      </c>
      <c r="E28" s="69"/>
    </row>
    <row r="29" spans="1:19" x14ac:dyDescent="0.25">
      <c r="B29" s="2"/>
      <c r="C29" s="2"/>
      <c r="D29" s="2"/>
    </row>
    <row r="30" spans="1:19" x14ac:dyDescent="0.25">
      <c r="B30" s="2"/>
      <c r="C30" s="2"/>
      <c r="D30" s="2"/>
    </row>
    <row r="31" spans="1:19" x14ac:dyDescent="0.25">
      <c r="A31" s="3">
        <v>1</v>
      </c>
      <c r="B31" s="62">
        <f>I12+'Q1 b(ii) Solutions'!J11+'Q1 b(i) Solutions'!T11</f>
        <v>42055.909087395034</v>
      </c>
      <c r="C31" s="62">
        <f>I12+'Q1 b(ii) Solutions'!J68+'Q1 b(i) Solutions'!T45</f>
        <v>42026.188806584076</v>
      </c>
      <c r="D31" s="65">
        <f>'Q1 b(i) Solutions'!T11</f>
        <v>22712.764933980579</v>
      </c>
      <c r="E31" s="58">
        <f>'Q1 b(i) Solutions'!T45</f>
        <v>22704.446487378638</v>
      </c>
    </row>
    <row r="32" spans="1:19" x14ac:dyDescent="0.25">
      <c r="A32" s="3">
        <v>2</v>
      </c>
      <c r="B32" s="63">
        <f>I13+'Q1 b(ii) Solutions'!J12+'Q1 b(i) Solutions'!T12</f>
        <v>76289.601651088364</v>
      </c>
      <c r="C32" s="63">
        <f>I13+'Q1 b(ii) Solutions'!J69+'Q1 b(i) Solutions'!T46</f>
        <v>76212.394386189408</v>
      </c>
      <c r="D32" s="66">
        <f>'Q1 b(i) Solutions'!T12</f>
        <v>49077.697502035131</v>
      </c>
      <c r="E32" s="66">
        <f>'Q1 b(i) Solutions'!T46</f>
        <v>49039.97662125183</v>
      </c>
    </row>
    <row r="33" spans="1:5" x14ac:dyDescent="0.25">
      <c r="A33" s="3">
        <v>3</v>
      </c>
      <c r="B33" s="62">
        <f>I14+'Q1 b(ii) Solutions'!J13+'Q1 b(i) Solutions'!T13</f>
        <v>103940.77311539266</v>
      </c>
      <c r="C33" s="62">
        <f>I14+'Q1 b(ii) Solutions'!J70+'Q1 b(i) Solutions'!T47</f>
        <v>103783.06024291457</v>
      </c>
      <c r="D33" s="65">
        <f>'Q1 b(i) Solutions'!T13</f>
        <v>70438.470959407568</v>
      </c>
      <c r="E33" s="58">
        <f>'Q1 b(i) Solutions'!T47</f>
        <v>70335.408205628046</v>
      </c>
    </row>
    <row r="34" spans="1:5" x14ac:dyDescent="0.25">
      <c r="A34" s="3">
        <v>4</v>
      </c>
      <c r="B34" s="62">
        <f>I15+'Q1 b(ii) Solutions'!J14+'Q1 b(i) Solutions'!T14</f>
        <v>125936.99834407732</v>
      </c>
      <c r="C34" s="62">
        <f>I15+'Q1 b(ii) Solutions'!J71+'Q1 b(i) Solutions'!T48</f>
        <v>125655.9655119979</v>
      </c>
      <c r="D34" s="65">
        <f>'Q1 b(i) Solutions'!T14</f>
        <v>87690.48746321506</v>
      </c>
      <c r="E34" s="58">
        <f>'Q1 b(i) Solutions'!T48</f>
        <v>87476.700930444174</v>
      </c>
    </row>
    <row r="35" spans="1:5" x14ac:dyDescent="0.25">
      <c r="A35" s="3">
        <v>5</v>
      </c>
      <c r="B35" s="62">
        <f>I16+'Q1 b(ii) Solutions'!J15+'Q1 b(i) Solutions'!T15</f>
        <v>142997.72202556377</v>
      </c>
      <c r="C35" s="62">
        <f>I16+'Q1 b(ii) Solutions'!J72+'Q1 b(i) Solutions'!T49</f>
        <v>142547.03698046971</v>
      </c>
      <c r="D35" s="65">
        <f>'Q1 b(i) Solutions'!T15</f>
        <v>101566.57063516781</v>
      </c>
      <c r="E35" s="58">
        <f>'Q1 b(i) Solutions'!T49</f>
        <v>101193.47508634487</v>
      </c>
    </row>
    <row r="36" spans="1:5" x14ac:dyDescent="0.25">
      <c r="A36" s="3">
        <v>6</v>
      </c>
      <c r="B36" s="62">
        <f>I17+'Q1 b(ii) Solutions'!J16+'Q1 b(i) Solutions'!T16</f>
        <v>160475.11600353537</v>
      </c>
      <c r="C36" s="62">
        <f>I17+'Q1 b(ii) Solutions'!J73+'Q1 b(i) Solutions'!T50</f>
        <v>159787.94235695136</v>
      </c>
      <c r="D36" s="65">
        <f>'Q1 b(i) Solutions'!T16</f>
        <v>124739.33897803391</v>
      </c>
      <c r="E36" s="58">
        <f>'Q1 b(i) Solutions'!T50</f>
        <v>124142.90051023362</v>
      </c>
    </row>
    <row r="37" spans="1:5" x14ac:dyDescent="0.25">
      <c r="A37" s="3">
        <v>7</v>
      </c>
      <c r="B37" s="62">
        <f>I18+'Q1 b(ii) Solutions'!J17+'Q1 b(i) Solutions'!T17</f>
        <v>177178.40689981921</v>
      </c>
      <c r="C37" s="62">
        <f>I18+'Q1 b(ii) Solutions'!J74+'Q1 b(i) Solutions'!T51</f>
        <v>176206.50652416173</v>
      </c>
      <c r="D37" s="65">
        <f>'Q1 b(i) Solutions'!T17</f>
        <v>146858.09937626548</v>
      </c>
      <c r="E37" s="58">
        <f>'Q1 b(i) Solutions'!T51</f>
        <v>145989.38001488542</v>
      </c>
    </row>
    <row r="38" spans="1:5" x14ac:dyDescent="0.25">
      <c r="A38" s="3">
        <v>8</v>
      </c>
      <c r="B38" s="62">
        <f>I19+'Q1 b(ii) Solutions'!J18+'Q1 b(i) Solutions'!T18</f>
        <v>193252.69425851887</v>
      </c>
      <c r="C38" s="62">
        <f>I19+'Q1 b(ii) Solutions'!J75+'Q1 b(i) Solutions'!T52</f>
        <v>191961.60967822341</v>
      </c>
      <c r="D38" s="65">
        <f>'Q1 b(i) Solutions'!T18</f>
        <v>168081.93445747529</v>
      </c>
      <c r="E38" s="58">
        <f>'Q1 b(i) Solutions'!T52</f>
        <v>166905.81197869015</v>
      </c>
    </row>
    <row r="39" spans="1:5" x14ac:dyDescent="0.25">
      <c r="A39" s="3">
        <v>9</v>
      </c>
      <c r="B39" s="62">
        <f>I20+'Q1 b(ii) Solutions'!J19+'Q1 b(i) Solutions'!T19</f>
        <v>208801.62340950037</v>
      </c>
      <c r="C39" s="62">
        <f>I20+'Q1 b(ii) Solutions'!J76+'Q1 b(i) Solutions'!T53</f>
        <v>207176.49447192755</v>
      </c>
      <c r="D39" s="65">
        <f>'Q1 b(i) Solutions'!T19</f>
        <v>188527.773511262</v>
      </c>
      <c r="E39" s="58">
        <f>'Q1 b(i) Solutions'!T53</f>
        <v>187028.75635772591</v>
      </c>
    </row>
    <row r="40" spans="1:5" x14ac:dyDescent="0.25">
      <c r="A40" s="3">
        <v>10</v>
      </c>
      <c r="B40" s="62">
        <f>I21+'Q1 b(ii) Solutions'!J20+'Q1 b(i) Solutions'!T20</f>
        <v>0</v>
      </c>
      <c r="C40" s="62">
        <f>I21+'Q1 b(ii) Solutions'!J77+'Q1 b(i) Solutions'!T54</f>
        <v>0</v>
      </c>
      <c r="D40" s="65">
        <f>'Q1 b(i) Solutions'!T20</f>
        <v>0</v>
      </c>
      <c r="E40" s="58">
        <f>'Q1 b(i) Solutions'!T54</f>
        <v>0</v>
      </c>
    </row>
  </sheetData>
  <mergeCells count="2">
    <mergeCell ref="B28:C28"/>
    <mergeCell ref="D28:E28"/>
  </mergeCells>
  <pageMargins left="0.7" right="0.7" top="0.75" bottom="0.75" header="0.3" footer="0.3"/>
  <headerFooter>
    <oddFooter>&amp;C_x000D_&amp;1#&amp;"Calibri"&amp;10&amp;K000000 CONFIDENTIAL</oddFooter>
  </headerFooter>
  <customProperties>
    <customPr name="_pios_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7A908-42FC-4067-99A3-DF48DA919A8A}">
  <dimension ref="B2:H25"/>
  <sheetViews>
    <sheetView workbookViewId="0"/>
  </sheetViews>
  <sheetFormatPr defaultRowHeight="14.4" x14ac:dyDescent="0.3"/>
  <cols>
    <col min="1" max="1" width="5" style="70" customWidth="1"/>
    <col min="2" max="2" width="8.88671875" style="70"/>
    <col min="3" max="3" width="15.21875" style="70" bestFit="1" customWidth="1"/>
    <col min="4" max="4" width="8.88671875" style="70"/>
    <col min="5" max="5" width="12.21875" style="70" bestFit="1" customWidth="1"/>
    <col min="6" max="16384" width="8.88671875" style="70"/>
  </cols>
  <sheetData>
    <row r="2" spans="2:8" x14ac:dyDescent="0.3">
      <c r="B2" s="91" t="s">
        <v>78</v>
      </c>
      <c r="C2" s="90"/>
      <c r="D2" s="89"/>
      <c r="E2" s="89"/>
      <c r="F2" s="89"/>
      <c r="G2" s="89"/>
      <c r="H2" s="88"/>
    </row>
    <row r="3" spans="2:8" x14ac:dyDescent="0.3">
      <c r="B3" s="77"/>
      <c r="C3" s="75" t="s">
        <v>77</v>
      </c>
      <c r="D3" s="76">
        <v>15000</v>
      </c>
      <c r="E3" s="82" t="s">
        <v>76</v>
      </c>
      <c r="F3" s="87">
        <v>5.5E-2</v>
      </c>
      <c r="G3" s="75"/>
      <c r="H3" s="74"/>
    </row>
    <row r="4" spans="2:8" x14ac:dyDescent="0.3">
      <c r="B4" s="77"/>
      <c r="C4" s="75" t="s">
        <v>75</v>
      </c>
      <c r="D4" s="84">
        <v>0.04</v>
      </c>
      <c r="E4" s="84">
        <v>0.03</v>
      </c>
      <c r="F4" s="84">
        <v>0.02</v>
      </c>
      <c r="G4" s="84">
        <v>0.01</v>
      </c>
      <c r="H4" s="86">
        <v>0</v>
      </c>
    </row>
    <row r="5" spans="2:8" x14ac:dyDescent="0.3">
      <c r="B5" s="77"/>
      <c r="C5" s="75"/>
      <c r="D5" s="75"/>
      <c r="E5" s="75"/>
      <c r="F5" s="75"/>
      <c r="G5" s="75"/>
      <c r="H5" s="74"/>
    </row>
    <row r="6" spans="2:8" x14ac:dyDescent="0.3">
      <c r="B6" s="83" t="s">
        <v>20</v>
      </c>
      <c r="C6" s="82"/>
      <c r="D6" s="75">
        <v>1</v>
      </c>
      <c r="E6" s="75">
        <f>D6+1</f>
        <v>2</v>
      </c>
      <c r="F6" s="75">
        <f>E6+1</f>
        <v>3</v>
      </c>
      <c r="G6" s="75">
        <f>F6+1</f>
        <v>4</v>
      </c>
      <c r="H6" s="74">
        <f>G6+1</f>
        <v>5</v>
      </c>
    </row>
    <row r="7" spans="2:8" x14ac:dyDescent="0.3">
      <c r="B7" s="77">
        <v>1</v>
      </c>
      <c r="C7" s="75"/>
      <c r="D7" s="76">
        <f>$D$3*(1+$F$3)^D$6*(1-D$4)</f>
        <v>15191.999999999998</v>
      </c>
      <c r="E7" s="76"/>
      <c r="F7" s="76"/>
      <c r="G7" s="76"/>
      <c r="H7" s="81"/>
    </row>
    <row r="8" spans="2:8" x14ac:dyDescent="0.3">
      <c r="B8" s="77">
        <f>B7+1</f>
        <v>2</v>
      </c>
      <c r="C8" s="75"/>
      <c r="D8" s="76">
        <f>$D$3*(1+$F$3)^D$6*(1-D$4)</f>
        <v>15191.999999999998</v>
      </c>
      <c r="E8" s="76">
        <f>$D$3*(1+$F$3)^E$6*(1-E$4)</f>
        <v>16194.51375</v>
      </c>
      <c r="F8" s="76"/>
      <c r="G8" s="76"/>
      <c r="H8" s="81"/>
    </row>
    <row r="9" spans="2:8" x14ac:dyDescent="0.3">
      <c r="B9" s="77">
        <f>B8+1</f>
        <v>3</v>
      </c>
      <c r="C9" s="75"/>
      <c r="D9" s="76">
        <f>$D$3*(1+$F$3)^D$6*(1-D$4)</f>
        <v>15191.999999999998</v>
      </c>
      <c r="E9" s="76">
        <f>$D$3*(1+$F$3)^E$6*(1-E$4)</f>
        <v>16194.51375</v>
      </c>
      <c r="F9" s="76">
        <f>$D$3*(1+$F$3)^F$6*(1-F$4)</f>
        <v>17261.348212499997</v>
      </c>
      <c r="G9" s="76"/>
      <c r="H9" s="81"/>
    </row>
    <row r="10" spans="2:8" x14ac:dyDescent="0.3">
      <c r="B10" s="77">
        <f>B9+1</f>
        <v>4</v>
      </c>
      <c r="C10" s="75"/>
      <c r="D10" s="76">
        <f>$D$3*(1+$F$3)^D$6*(1-D$4)</f>
        <v>15191.999999999998</v>
      </c>
      <c r="E10" s="76">
        <f>$D$3*(1+$F$3)^E$6*(1-E$4)</f>
        <v>16194.51375</v>
      </c>
      <c r="F10" s="76">
        <f>$D$3*(1+$F$3)^F$6*(1-F$4)</f>
        <v>17261.348212499997</v>
      </c>
      <c r="G10" s="76">
        <f>$D$3*(1+$F$3)^G$6*(1-G$4)</f>
        <v>18396.546061781246</v>
      </c>
      <c r="H10" s="81"/>
    </row>
    <row r="11" spans="2:8" x14ac:dyDescent="0.3">
      <c r="B11" s="77">
        <f>B10+1</f>
        <v>5</v>
      </c>
      <c r="C11" s="75"/>
      <c r="D11" s="76">
        <f>$D$3*(1+$F$3)^D$6*(1-D$4)</f>
        <v>15191.999999999998</v>
      </c>
      <c r="E11" s="76">
        <f>$D$3*(1+$F$3)^E$6*(1-E$4)</f>
        <v>16194.51375</v>
      </c>
      <c r="F11" s="76">
        <f>$D$3*(1+$F$3)^F$6*(1-F$4)</f>
        <v>17261.348212499997</v>
      </c>
      <c r="G11" s="76">
        <f>$D$3*(1+$F$3)^G$6*(1-G$4)</f>
        <v>18396.546061781246</v>
      </c>
      <c r="H11" s="81">
        <f>$D$3*(1+$F$3)^H$6*(1-H$4)</f>
        <v>19604.40009614062</v>
      </c>
    </row>
    <row r="12" spans="2:8" x14ac:dyDescent="0.3">
      <c r="B12" s="77"/>
      <c r="C12" s="75"/>
      <c r="D12" s="75"/>
      <c r="E12" s="75"/>
      <c r="F12" s="75"/>
      <c r="G12" s="75"/>
      <c r="H12" s="74"/>
    </row>
    <row r="13" spans="2:8" x14ac:dyDescent="0.3">
      <c r="B13" s="78" t="s">
        <v>74</v>
      </c>
      <c r="C13" s="85"/>
      <c r="D13" s="75"/>
      <c r="E13" s="75"/>
      <c r="F13" s="75"/>
      <c r="G13" s="75"/>
      <c r="H13" s="74"/>
    </row>
    <row r="14" spans="2:8" x14ac:dyDescent="0.3">
      <c r="B14" s="77"/>
      <c r="C14" s="75"/>
      <c r="D14" s="75" t="s">
        <v>73</v>
      </c>
      <c r="E14" s="82"/>
      <c r="F14" s="84">
        <v>0.05</v>
      </c>
      <c r="G14" s="75"/>
      <c r="H14" s="74"/>
    </row>
    <row r="15" spans="2:8" x14ac:dyDescent="0.3">
      <c r="B15" s="77"/>
      <c r="C15" s="75"/>
      <c r="D15" s="75"/>
      <c r="E15" s="75"/>
      <c r="F15" s="75"/>
      <c r="G15" s="75"/>
      <c r="H15" s="74"/>
    </row>
    <row r="16" spans="2:8" x14ac:dyDescent="0.3">
      <c r="B16" s="83" t="s">
        <v>20</v>
      </c>
      <c r="C16" s="82" t="s">
        <v>72</v>
      </c>
      <c r="D16" s="75">
        <v>1</v>
      </c>
      <c r="E16" s="75">
        <f>D16+1</f>
        <v>2</v>
      </c>
      <c r="F16" s="75">
        <f>E16+1</f>
        <v>3</v>
      </c>
      <c r="G16" s="75">
        <f>F16+1</f>
        <v>4</v>
      </c>
      <c r="H16" s="74">
        <f>G16+1</f>
        <v>5</v>
      </c>
    </row>
    <row r="17" spans="2:8" x14ac:dyDescent="0.3">
      <c r="B17" s="77">
        <v>1</v>
      </c>
      <c r="C17" s="76">
        <f>D17/(1+$F$14)^D$16</f>
        <v>14468.571428571426</v>
      </c>
      <c r="D17" s="76">
        <f>D7</f>
        <v>15191.999999999998</v>
      </c>
      <c r="E17" s="76"/>
      <c r="F17" s="76"/>
      <c r="G17" s="76"/>
      <c r="H17" s="81"/>
    </row>
    <row r="18" spans="2:8" x14ac:dyDescent="0.3">
      <c r="B18" s="77">
        <f>B17+1</f>
        <v>2</v>
      </c>
      <c r="C18" s="76">
        <f>E18/(1+$F$14)^E$16</f>
        <v>14688.901360544218</v>
      </c>
      <c r="D18" s="76"/>
      <c r="E18" s="76">
        <f>E8</f>
        <v>16194.51375</v>
      </c>
      <c r="F18" s="76"/>
      <c r="G18" s="76"/>
      <c r="H18" s="81"/>
    </row>
    <row r="19" spans="2:8" x14ac:dyDescent="0.3">
      <c r="B19" s="77">
        <f>B18+1</f>
        <v>3</v>
      </c>
      <c r="C19" s="76">
        <f>F19/(1+$F$14)^F$16</f>
        <v>14911.001587301584</v>
      </c>
      <c r="D19" s="76"/>
      <c r="E19" s="76"/>
      <c r="F19" s="76">
        <f>F9</f>
        <v>17261.348212499997</v>
      </c>
      <c r="G19" s="76"/>
      <c r="H19" s="81"/>
    </row>
    <row r="20" spans="2:8" x14ac:dyDescent="0.3">
      <c r="B20" s="77">
        <f>B19+1</f>
        <v>4</v>
      </c>
      <c r="C20" s="76">
        <f>G20/(1+$F$14)^G$16</f>
        <v>15134.883972650281</v>
      </c>
      <c r="D20" s="76"/>
      <c r="E20" s="76"/>
      <c r="F20" s="76"/>
      <c r="G20" s="76">
        <f>G10</f>
        <v>18396.546061781246</v>
      </c>
      <c r="H20" s="81"/>
    </row>
    <row r="21" spans="2:8" x14ac:dyDescent="0.3">
      <c r="B21" s="77">
        <f>B20+1</f>
        <v>5</v>
      </c>
      <c r="C21" s="76">
        <f>H21/(1+$F$14)^H$16</f>
        <v>15360.560453242948</v>
      </c>
      <c r="D21" s="76"/>
      <c r="E21" s="76"/>
      <c r="F21" s="76"/>
      <c r="G21" s="76"/>
      <c r="H21" s="81">
        <f>H11</f>
        <v>19604.40009614062</v>
      </c>
    </row>
    <row r="22" spans="2:8" x14ac:dyDescent="0.3">
      <c r="B22" s="77"/>
      <c r="C22" s="75"/>
      <c r="D22" s="80"/>
      <c r="E22" s="80"/>
      <c r="F22" s="80"/>
      <c r="G22" s="80"/>
      <c r="H22" s="79"/>
    </row>
    <row r="23" spans="2:8" x14ac:dyDescent="0.3">
      <c r="B23" s="78" t="s">
        <v>71</v>
      </c>
      <c r="C23" s="75"/>
      <c r="D23" s="75"/>
      <c r="E23" s="75"/>
      <c r="F23" s="75"/>
      <c r="G23" s="75"/>
      <c r="H23" s="74"/>
    </row>
    <row r="24" spans="2:8" x14ac:dyDescent="0.3">
      <c r="B24" s="77" t="s">
        <v>70</v>
      </c>
      <c r="C24" s="75"/>
      <c r="D24" s="75"/>
      <c r="E24" s="76">
        <f>MAX(C17:C21)</f>
        <v>15360.560453242948</v>
      </c>
      <c r="F24" s="75"/>
      <c r="G24" s="75"/>
      <c r="H24" s="74"/>
    </row>
    <row r="25" spans="2:8" x14ac:dyDescent="0.3">
      <c r="B25" s="73"/>
      <c r="C25" s="72"/>
      <c r="D25" s="72"/>
      <c r="E25" s="72"/>
      <c r="F25" s="72"/>
      <c r="G25" s="72"/>
      <c r="H25" s="7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D0934-E293-454C-8484-4EDB23CFF370}">
  <dimension ref="A1:P197"/>
  <sheetViews>
    <sheetView topLeftCell="A103" workbookViewId="0">
      <selection activeCell="G23" sqref="G23"/>
    </sheetView>
  </sheetViews>
  <sheetFormatPr defaultRowHeight="14.4" x14ac:dyDescent="0.3"/>
  <cols>
    <col min="1" max="1" width="10.5546875" style="70" customWidth="1"/>
    <col min="2" max="2" width="11" style="70" customWidth="1"/>
    <col min="3" max="3" width="9.44140625" style="70" customWidth="1"/>
    <col min="4" max="4" width="12" style="70" customWidth="1"/>
    <col min="5" max="5" width="13.44140625" style="70" customWidth="1"/>
    <col min="6" max="6" width="11.88671875" style="70" customWidth="1"/>
    <col min="7" max="7" width="11" style="70" customWidth="1"/>
    <col min="8" max="8" width="13.33203125" style="70" customWidth="1"/>
    <col min="9" max="9" width="19.44140625" style="70" customWidth="1"/>
    <col min="10" max="10" width="17.109375" style="70" customWidth="1"/>
    <col min="11" max="11" width="12" style="70" bestFit="1" customWidth="1"/>
    <col min="12" max="16384" width="8.88671875" style="70"/>
  </cols>
  <sheetData>
    <row r="1" spans="1:4" s="96" customFormat="1" ht="17.399999999999999" x14ac:dyDescent="0.3">
      <c r="A1" s="126" t="s">
        <v>175</v>
      </c>
    </row>
    <row r="2" spans="1:4" s="96" customFormat="1" ht="15.6" x14ac:dyDescent="0.3">
      <c r="A2" s="125" t="s">
        <v>174</v>
      </c>
    </row>
    <row r="3" spans="1:4" s="96" customFormat="1" x14ac:dyDescent="0.3"/>
    <row r="4" spans="1:4" s="96" customFormat="1" ht="15.6" x14ac:dyDescent="0.3">
      <c r="A4" s="102" t="s">
        <v>173</v>
      </c>
    </row>
    <row r="5" spans="1:4" s="96" customFormat="1" ht="15.6" x14ac:dyDescent="0.3">
      <c r="A5" s="102"/>
    </row>
    <row r="6" spans="1:4" s="96" customFormat="1" ht="15.6" x14ac:dyDescent="0.3">
      <c r="A6" s="97" t="s">
        <v>172</v>
      </c>
    </row>
    <row r="7" spans="1:4" s="96" customFormat="1" ht="15.6" x14ac:dyDescent="0.3">
      <c r="A7" s="97"/>
    </row>
    <row r="8" spans="1:4" s="96" customFormat="1" ht="53.4" x14ac:dyDescent="0.3">
      <c r="A8" s="117" t="s">
        <v>170</v>
      </c>
      <c r="B8" s="117" t="s">
        <v>169</v>
      </c>
      <c r="C8" s="117" t="s">
        <v>168</v>
      </c>
      <c r="D8" s="118" t="s">
        <v>154</v>
      </c>
    </row>
    <row r="9" spans="1:4" s="96" customFormat="1" x14ac:dyDescent="0.3">
      <c r="A9" s="107">
        <v>1</v>
      </c>
      <c r="B9" s="121">
        <v>0.82</v>
      </c>
      <c r="C9" s="120">
        <v>0.7</v>
      </c>
      <c r="D9" s="106">
        <v>3</v>
      </c>
    </row>
    <row r="10" spans="1:4" s="96" customFormat="1" x14ac:dyDescent="0.3">
      <c r="A10" s="107">
        <f>1+A9</f>
        <v>2</v>
      </c>
      <c r="B10" s="121">
        <v>1.2</v>
      </c>
      <c r="C10" s="120">
        <v>0.7</v>
      </c>
      <c r="D10" s="106">
        <v>3</v>
      </c>
    </row>
    <row r="11" spans="1:4" s="96" customFormat="1" x14ac:dyDescent="0.3">
      <c r="A11" s="107">
        <f>1+A10</f>
        <v>3</v>
      </c>
      <c r="B11" s="121">
        <v>1.71</v>
      </c>
      <c r="C11" s="120">
        <v>0.7</v>
      </c>
      <c r="D11" s="106">
        <v>3</v>
      </c>
    </row>
    <row r="12" spans="1:4" s="96" customFormat="1" x14ac:dyDescent="0.3">
      <c r="A12" s="107">
        <f>1+A11</f>
        <v>4</v>
      </c>
      <c r="B12" s="121">
        <v>2.16</v>
      </c>
      <c r="C12" s="120">
        <v>0.7</v>
      </c>
      <c r="D12" s="106">
        <v>3</v>
      </c>
    </row>
    <row r="13" spans="1:4" s="96" customFormat="1" x14ac:dyDescent="0.3">
      <c r="A13" s="107">
        <f>1+A12</f>
        <v>5</v>
      </c>
      <c r="B13" s="121">
        <v>2.59</v>
      </c>
      <c r="C13" s="120">
        <v>0.7</v>
      </c>
      <c r="D13" s="106">
        <v>3</v>
      </c>
    </row>
    <row r="14" spans="1:4" s="96" customFormat="1" x14ac:dyDescent="0.3">
      <c r="A14" s="107">
        <f>1+A13</f>
        <v>6</v>
      </c>
      <c r="B14" s="121">
        <v>2.99</v>
      </c>
      <c r="C14" s="120">
        <v>0.8</v>
      </c>
      <c r="D14" s="106">
        <v>3</v>
      </c>
    </row>
    <row r="15" spans="1:4" s="96" customFormat="1" x14ac:dyDescent="0.3">
      <c r="A15" s="107">
        <f>1+A14</f>
        <v>7</v>
      </c>
      <c r="B15" s="121">
        <v>3.34</v>
      </c>
      <c r="C15" s="120">
        <v>0.8</v>
      </c>
      <c r="D15" s="106">
        <v>3</v>
      </c>
    </row>
    <row r="16" spans="1:4" s="96" customFormat="1" x14ac:dyDescent="0.3">
      <c r="A16" s="107">
        <f>1+A15</f>
        <v>8</v>
      </c>
      <c r="B16" s="121">
        <v>3.77</v>
      </c>
      <c r="C16" s="120">
        <v>0.8</v>
      </c>
      <c r="D16" s="106">
        <v>3</v>
      </c>
    </row>
    <row r="17" spans="1:4" s="96" customFormat="1" x14ac:dyDescent="0.3">
      <c r="A17" s="107">
        <f>1+A16</f>
        <v>9</v>
      </c>
      <c r="B17" s="121">
        <v>4.5999999999999996</v>
      </c>
      <c r="C17" s="120">
        <v>0.8</v>
      </c>
      <c r="D17" s="106">
        <v>3</v>
      </c>
    </row>
    <row r="18" spans="1:4" s="96" customFormat="1" x14ac:dyDescent="0.3">
      <c r="A18" s="107">
        <f>1+A17</f>
        <v>10</v>
      </c>
      <c r="B18" s="121">
        <v>5.3</v>
      </c>
      <c r="C18" s="120">
        <v>0.85</v>
      </c>
      <c r="D18" s="106">
        <v>3</v>
      </c>
    </row>
    <row r="19" spans="1:4" s="96" customFormat="1" x14ac:dyDescent="0.3">
      <c r="A19" s="107">
        <f>1+A18</f>
        <v>11</v>
      </c>
      <c r="B19" s="121">
        <v>5.92</v>
      </c>
      <c r="C19" s="120">
        <v>0.85</v>
      </c>
      <c r="D19" s="106">
        <v>3</v>
      </c>
    </row>
    <row r="20" spans="1:4" s="96" customFormat="1" x14ac:dyDescent="0.3">
      <c r="A20" s="107">
        <f>1+A19</f>
        <v>12</v>
      </c>
      <c r="B20" s="121">
        <v>6.55</v>
      </c>
      <c r="C20" s="120">
        <v>0.85</v>
      </c>
      <c r="D20" s="106">
        <v>3</v>
      </c>
    </row>
    <row r="21" spans="1:4" s="96" customFormat="1" x14ac:dyDescent="0.3">
      <c r="A21" s="107">
        <f>1+A20</f>
        <v>13</v>
      </c>
      <c r="B21" s="121">
        <v>7.27</v>
      </c>
      <c r="C21" s="120">
        <v>0.85</v>
      </c>
      <c r="D21" s="106">
        <v>8</v>
      </c>
    </row>
    <row r="22" spans="1:4" s="96" customFormat="1" x14ac:dyDescent="0.3">
      <c r="A22" s="107">
        <f>1+A21</f>
        <v>14</v>
      </c>
      <c r="B22" s="121">
        <v>8.1300000000000008</v>
      </c>
      <c r="C22" s="120">
        <v>0.9</v>
      </c>
      <c r="D22" s="106">
        <v>9.1999999999999993</v>
      </c>
    </row>
    <row r="23" spans="1:4" s="96" customFormat="1" x14ac:dyDescent="0.3">
      <c r="A23" s="107">
        <f>1+A22</f>
        <v>15</v>
      </c>
      <c r="B23" s="121">
        <v>9.11</v>
      </c>
      <c r="C23" s="120">
        <v>0.9</v>
      </c>
      <c r="D23" s="106">
        <v>10</v>
      </c>
    </row>
    <row r="24" spans="1:4" s="96" customFormat="1" x14ac:dyDescent="0.3">
      <c r="A24" s="107">
        <f>1+A23</f>
        <v>16</v>
      </c>
      <c r="B24" s="121">
        <v>10.210000000000001</v>
      </c>
      <c r="C24" s="120">
        <v>0.9</v>
      </c>
      <c r="D24" s="106">
        <v>11</v>
      </c>
    </row>
    <row r="25" spans="1:4" s="96" customFormat="1" x14ac:dyDescent="0.3">
      <c r="A25" s="107">
        <f>1+A24</f>
        <v>17</v>
      </c>
      <c r="B25" s="121">
        <v>11.28</v>
      </c>
      <c r="C25" s="120">
        <v>0.98</v>
      </c>
      <c r="D25" s="106">
        <v>13</v>
      </c>
    </row>
    <row r="26" spans="1:4" s="96" customFormat="1" x14ac:dyDescent="0.3">
      <c r="A26" s="107">
        <f>1+A25</f>
        <v>18</v>
      </c>
      <c r="B26" s="121">
        <v>12.46</v>
      </c>
      <c r="C26" s="120">
        <v>0.98</v>
      </c>
      <c r="D26" s="106">
        <v>15</v>
      </c>
    </row>
    <row r="27" spans="1:4" s="96" customFormat="1" x14ac:dyDescent="0.3">
      <c r="A27" s="107">
        <f>1+A26</f>
        <v>19</v>
      </c>
      <c r="B27" s="121">
        <v>13.71</v>
      </c>
      <c r="C27" s="120">
        <v>0.98</v>
      </c>
      <c r="D27" s="106">
        <v>16</v>
      </c>
    </row>
    <row r="28" spans="1:4" s="96" customFormat="1" x14ac:dyDescent="0.3">
      <c r="A28" s="107">
        <f>1+A27</f>
        <v>20</v>
      </c>
      <c r="B28" s="121">
        <v>15.26</v>
      </c>
      <c r="C28" s="120">
        <v>0.98</v>
      </c>
      <c r="D28" s="106">
        <v>18</v>
      </c>
    </row>
    <row r="29" spans="1:4" s="96" customFormat="1" x14ac:dyDescent="0.3">
      <c r="A29" s="107">
        <f>1+A28</f>
        <v>21</v>
      </c>
      <c r="B29" s="121">
        <v>17.16</v>
      </c>
      <c r="C29" s="120">
        <v>0.98</v>
      </c>
      <c r="D29" s="106">
        <v>20</v>
      </c>
    </row>
    <row r="30" spans="1:4" s="96" customFormat="1" x14ac:dyDescent="0.3">
      <c r="A30" s="107">
        <f>1+A29</f>
        <v>22</v>
      </c>
      <c r="B30" s="121">
        <v>19.09</v>
      </c>
      <c r="C30" s="120">
        <v>0.98</v>
      </c>
      <c r="D30" s="106">
        <v>22</v>
      </c>
    </row>
    <row r="31" spans="1:4" s="96" customFormat="1" x14ac:dyDescent="0.3">
      <c r="A31" s="107">
        <f>1+A30</f>
        <v>23</v>
      </c>
      <c r="B31" s="121">
        <v>21.34</v>
      </c>
      <c r="C31" s="120">
        <v>1</v>
      </c>
      <c r="D31" s="106">
        <v>25</v>
      </c>
    </row>
    <row r="32" spans="1:4" s="96" customFormat="1" x14ac:dyDescent="0.3">
      <c r="A32" s="107">
        <f>1+A31</f>
        <v>24</v>
      </c>
      <c r="B32" s="121">
        <v>23.94</v>
      </c>
      <c r="C32" s="120">
        <v>1</v>
      </c>
      <c r="D32" s="106">
        <v>28</v>
      </c>
    </row>
    <row r="33" spans="1:9" s="96" customFormat="1" x14ac:dyDescent="0.3">
      <c r="A33" s="107">
        <f>1+A32</f>
        <v>25</v>
      </c>
      <c r="B33" s="121">
        <v>26.86</v>
      </c>
      <c r="C33" s="120">
        <v>1</v>
      </c>
      <c r="D33" s="106">
        <v>31</v>
      </c>
    </row>
    <row r="34" spans="1:9" s="96" customFormat="1" ht="15.6" x14ac:dyDescent="0.3">
      <c r="A34" s="102"/>
    </row>
    <row r="35" spans="1:9" s="96" customFormat="1" ht="15.6" x14ac:dyDescent="0.3">
      <c r="A35" s="102" t="s">
        <v>171</v>
      </c>
    </row>
    <row r="36" spans="1:9" ht="15.6" x14ac:dyDescent="0.3">
      <c r="A36" s="94" t="s">
        <v>92</v>
      </c>
    </row>
    <row r="37" spans="1:9" x14ac:dyDescent="0.3">
      <c r="A37" s="124"/>
    </row>
    <row r="38" spans="1:9" ht="53.4" x14ac:dyDescent="0.3">
      <c r="A38" s="117" t="s">
        <v>170</v>
      </c>
      <c r="B38" s="117" t="s">
        <v>169</v>
      </c>
      <c r="C38" s="117" t="s">
        <v>168</v>
      </c>
      <c r="D38" s="118" t="s">
        <v>154</v>
      </c>
      <c r="E38" s="123" t="s">
        <v>167</v>
      </c>
      <c r="F38" s="123" t="s">
        <v>166</v>
      </c>
      <c r="G38" s="123" t="s">
        <v>153</v>
      </c>
      <c r="I38" s="122" t="s">
        <v>165</v>
      </c>
    </row>
    <row r="39" spans="1:9" x14ac:dyDescent="0.3">
      <c r="A39" s="107">
        <v>1</v>
      </c>
      <c r="B39" s="121">
        <v>0.82</v>
      </c>
      <c r="C39" s="120">
        <v>0.7</v>
      </c>
      <c r="D39" s="106">
        <v>3</v>
      </c>
      <c r="E39" s="70">
        <f>1</f>
        <v>1</v>
      </c>
      <c r="F39" s="70">
        <f>1</f>
        <v>1</v>
      </c>
      <c r="G39" s="70">
        <v>1</v>
      </c>
    </row>
    <row r="40" spans="1:9" x14ac:dyDescent="0.3">
      <c r="A40" s="107">
        <f>1+A39</f>
        <v>2</v>
      </c>
      <c r="B40" s="121">
        <v>1.2</v>
      </c>
      <c r="C40" s="120">
        <v>0.7</v>
      </c>
      <c r="D40" s="106">
        <v>3</v>
      </c>
      <c r="E40" s="70">
        <f>B40/B39</f>
        <v>1.4634146341463414</v>
      </c>
      <c r="F40" s="70">
        <f>D40/D39</f>
        <v>1</v>
      </c>
      <c r="G40" s="70">
        <f>IF(F40&gt;MAX(1,E40),G39+1,G39)</f>
        <v>1</v>
      </c>
      <c r="I40" s="70" t="s">
        <v>164</v>
      </c>
    </row>
    <row r="41" spans="1:9" x14ac:dyDescent="0.3">
      <c r="A41" s="107">
        <f>1+A40</f>
        <v>3</v>
      </c>
      <c r="B41" s="121">
        <v>1.71</v>
      </c>
      <c r="C41" s="120">
        <v>0.7</v>
      </c>
      <c r="D41" s="106">
        <v>3</v>
      </c>
      <c r="E41" s="70">
        <f>B41/B40</f>
        <v>1.425</v>
      </c>
      <c r="F41" s="70">
        <f>D41/D40</f>
        <v>1</v>
      </c>
      <c r="G41" s="70">
        <f>IF(F41&gt;MAX(1,E41),G40+1,G40)</f>
        <v>1</v>
      </c>
      <c r="I41" s="70" t="s">
        <v>163</v>
      </c>
    </row>
    <row r="42" spans="1:9" x14ac:dyDescent="0.3">
      <c r="A42" s="107">
        <f>1+A41</f>
        <v>4</v>
      </c>
      <c r="B42" s="121">
        <v>2.16</v>
      </c>
      <c r="C42" s="120">
        <v>0.7</v>
      </c>
      <c r="D42" s="106">
        <v>3</v>
      </c>
      <c r="E42" s="70">
        <f>B42/B41</f>
        <v>1.2631578947368423</v>
      </c>
      <c r="F42" s="70">
        <f>D42/D41</f>
        <v>1</v>
      </c>
      <c r="G42" s="70">
        <f>IF(F42&gt;MAX(1,E42),G41+1,G41)</f>
        <v>1</v>
      </c>
    </row>
    <row r="43" spans="1:9" x14ac:dyDescent="0.3">
      <c r="A43" s="107">
        <f>1+A42</f>
        <v>5</v>
      </c>
      <c r="B43" s="121">
        <v>2.59</v>
      </c>
      <c r="C43" s="120">
        <v>0.7</v>
      </c>
      <c r="D43" s="106">
        <v>3</v>
      </c>
      <c r="E43" s="70">
        <f>B43/B42</f>
        <v>1.199074074074074</v>
      </c>
      <c r="F43" s="70">
        <f>D43/D42</f>
        <v>1</v>
      </c>
      <c r="G43" s="70">
        <f>IF(F43&gt;MAX(1,E43),G42+1,G42)</f>
        <v>1</v>
      </c>
      <c r="I43" s="70" t="s">
        <v>162</v>
      </c>
    </row>
    <row r="44" spans="1:9" x14ac:dyDescent="0.3">
      <c r="A44" s="107">
        <f>1+A43</f>
        <v>6</v>
      </c>
      <c r="B44" s="121">
        <v>2.99</v>
      </c>
      <c r="C44" s="120">
        <v>0.8</v>
      </c>
      <c r="D44" s="106">
        <v>3</v>
      </c>
      <c r="E44" s="70">
        <f>B44/B43</f>
        <v>1.1544401544401546</v>
      </c>
      <c r="F44" s="70">
        <f>D44/D43</f>
        <v>1</v>
      </c>
      <c r="G44" s="70">
        <f>IF(F44&gt;MAX(1,E44),G43+1,G43)</f>
        <v>1</v>
      </c>
      <c r="I44" s="70" t="s">
        <v>161</v>
      </c>
    </row>
    <row r="45" spans="1:9" x14ac:dyDescent="0.3">
      <c r="A45" s="107">
        <f>1+A44</f>
        <v>7</v>
      </c>
      <c r="B45" s="121">
        <v>3.34</v>
      </c>
      <c r="C45" s="120">
        <v>0.8</v>
      </c>
      <c r="D45" s="106">
        <v>3</v>
      </c>
      <c r="E45" s="70">
        <f>B45/B44</f>
        <v>1.1170568561872909</v>
      </c>
      <c r="F45" s="70">
        <f>D45/D44</f>
        <v>1</v>
      </c>
      <c r="G45" s="70">
        <f>IF(F45&gt;MAX(1,E45),G44+1,G44)</f>
        <v>1</v>
      </c>
    </row>
    <row r="46" spans="1:9" x14ac:dyDescent="0.3">
      <c r="A46" s="107">
        <f>1+A45</f>
        <v>8</v>
      </c>
      <c r="B46" s="121">
        <v>3.77</v>
      </c>
      <c r="C46" s="120">
        <v>0.8</v>
      </c>
      <c r="D46" s="106">
        <v>3</v>
      </c>
      <c r="E46" s="70">
        <f>B46/B45</f>
        <v>1.1287425149700598</v>
      </c>
      <c r="F46" s="70">
        <f>D46/D45</f>
        <v>1</v>
      </c>
      <c r="G46" s="70">
        <f>IF(F46&gt;MAX(1,E46),G45+1,G45)</f>
        <v>1</v>
      </c>
      <c r="I46" s="70" t="s">
        <v>160</v>
      </c>
    </row>
    <row r="47" spans="1:9" x14ac:dyDescent="0.3">
      <c r="A47" s="107">
        <f>1+A46</f>
        <v>9</v>
      </c>
      <c r="B47" s="121">
        <v>4.5999999999999996</v>
      </c>
      <c r="C47" s="120">
        <v>0.8</v>
      </c>
      <c r="D47" s="106">
        <v>3</v>
      </c>
      <c r="E47" s="70">
        <f>B47/B46</f>
        <v>1.2201591511936338</v>
      </c>
      <c r="F47" s="70">
        <f>D47/D46</f>
        <v>1</v>
      </c>
      <c r="G47" s="70">
        <f>IF(F47&gt;MAX(1,E47),G46+1,G46)</f>
        <v>1</v>
      </c>
      <c r="I47" s="70" t="s">
        <v>159</v>
      </c>
    </row>
    <row r="48" spans="1:9" x14ac:dyDescent="0.3">
      <c r="A48" s="107">
        <f>1+A47</f>
        <v>10</v>
      </c>
      <c r="B48" s="121">
        <v>5.3</v>
      </c>
      <c r="C48" s="120">
        <v>0.85</v>
      </c>
      <c r="D48" s="106">
        <v>3</v>
      </c>
      <c r="E48" s="70">
        <f>B48/B47</f>
        <v>1.1521739130434783</v>
      </c>
      <c r="F48" s="70">
        <f>D48/D47</f>
        <v>1</v>
      </c>
      <c r="G48" s="70">
        <f>IF(F48&gt;MAX(1,E48),G47+1,G47)</f>
        <v>1</v>
      </c>
      <c r="I48" s="70" t="s">
        <v>158</v>
      </c>
    </row>
    <row r="49" spans="1:9" x14ac:dyDescent="0.3">
      <c r="A49" s="107">
        <f>1+A48</f>
        <v>11</v>
      </c>
      <c r="B49" s="121">
        <v>5.92</v>
      </c>
      <c r="C49" s="120">
        <v>0.85</v>
      </c>
      <c r="D49" s="106">
        <v>3</v>
      </c>
      <c r="E49" s="70">
        <f>B49/B48</f>
        <v>1.1169811320754717</v>
      </c>
      <c r="F49" s="70">
        <f>D49/D48</f>
        <v>1</v>
      </c>
      <c r="G49" s="70">
        <f>IF(F49&gt;MAX(1,E49),G48+1,G48)</f>
        <v>1</v>
      </c>
    </row>
    <row r="50" spans="1:9" x14ac:dyDescent="0.3">
      <c r="A50" s="107">
        <f>1+A49</f>
        <v>12</v>
      </c>
      <c r="B50" s="121">
        <v>6.55</v>
      </c>
      <c r="C50" s="120">
        <v>0.85</v>
      </c>
      <c r="D50" s="106">
        <v>3</v>
      </c>
      <c r="E50" s="70">
        <f>B50/B49</f>
        <v>1.1064189189189189</v>
      </c>
      <c r="F50" s="70">
        <f>D50/D49</f>
        <v>1</v>
      </c>
      <c r="G50" s="70">
        <f>IF(F50&gt;MAX(1,E50),G49+1,G49)</f>
        <v>1</v>
      </c>
      <c r="I50" s="70" t="s">
        <v>157</v>
      </c>
    </row>
    <row r="51" spans="1:9" x14ac:dyDescent="0.3">
      <c r="A51" s="107">
        <f>1+A50</f>
        <v>13</v>
      </c>
      <c r="B51" s="121">
        <v>7.27</v>
      </c>
      <c r="C51" s="120">
        <v>0.85</v>
      </c>
      <c r="D51" s="106">
        <v>8</v>
      </c>
      <c r="E51" s="70">
        <f>B51/B50</f>
        <v>1.1099236641221373</v>
      </c>
      <c r="F51" s="70">
        <f>D51/D50</f>
        <v>2.6666666666666665</v>
      </c>
      <c r="G51" s="70">
        <f>IF(F51&gt;MAX(1,E51),G50+1,G50)</f>
        <v>2</v>
      </c>
    </row>
    <row r="52" spans="1:9" x14ac:dyDescent="0.3">
      <c r="A52" s="107">
        <f>1+A51</f>
        <v>14</v>
      </c>
      <c r="B52" s="121">
        <v>8.1300000000000008</v>
      </c>
      <c r="C52" s="120">
        <v>0.9</v>
      </c>
      <c r="D52" s="106">
        <v>9.1999999999999993</v>
      </c>
      <c r="E52" s="70">
        <f>B52/B51</f>
        <v>1.1182943603851445</v>
      </c>
      <c r="F52" s="70">
        <f>D52/D51</f>
        <v>1.1499999999999999</v>
      </c>
      <c r="G52" s="70">
        <f>IF(F52&gt;MAX(1,E52),G51+1,G51)</f>
        <v>3</v>
      </c>
    </row>
    <row r="53" spans="1:9" x14ac:dyDescent="0.3">
      <c r="A53" s="107">
        <f>1+A52</f>
        <v>15</v>
      </c>
      <c r="B53" s="121">
        <v>9.11</v>
      </c>
      <c r="C53" s="120">
        <v>0.9</v>
      </c>
      <c r="D53" s="106">
        <v>10</v>
      </c>
      <c r="E53" s="70">
        <f>B53/B52</f>
        <v>1.120541205412054</v>
      </c>
      <c r="F53" s="70">
        <f>D53/D52</f>
        <v>1.0869565217391306</v>
      </c>
      <c r="G53" s="70">
        <f>IF(F53&gt;MAX(1,E53),G52+1,G52)</f>
        <v>3</v>
      </c>
    </row>
    <row r="54" spans="1:9" x14ac:dyDescent="0.3">
      <c r="A54" s="107">
        <f>1+A53</f>
        <v>16</v>
      </c>
      <c r="B54" s="121">
        <v>10.210000000000001</v>
      </c>
      <c r="C54" s="120">
        <v>0.9</v>
      </c>
      <c r="D54" s="106">
        <v>11</v>
      </c>
      <c r="E54" s="70">
        <f>B54/B53</f>
        <v>1.1207464324917675</v>
      </c>
      <c r="F54" s="70">
        <f>D54/D53</f>
        <v>1.1000000000000001</v>
      </c>
      <c r="G54" s="70">
        <f>IF(F54&gt;MAX(1,E54),G53+1,G53)</f>
        <v>3</v>
      </c>
    </row>
    <row r="55" spans="1:9" x14ac:dyDescent="0.3">
      <c r="A55" s="107">
        <f>1+A54</f>
        <v>17</v>
      </c>
      <c r="B55" s="121">
        <v>11.28</v>
      </c>
      <c r="C55" s="120">
        <v>0.98</v>
      </c>
      <c r="D55" s="106">
        <v>13</v>
      </c>
      <c r="E55" s="70">
        <f>B55/B54</f>
        <v>1.1047992164544562</v>
      </c>
      <c r="F55" s="70">
        <f>D55/D54</f>
        <v>1.1818181818181819</v>
      </c>
      <c r="G55" s="70">
        <f>IF(F55&gt;MAX(1,E55),G54+1,G54)</f>
        <v>4</v>
      </c>
    </row>
    <row r="56" spans="1:9" x14ac:dyDescent="0.3">
      <c r="A56" s="107">
        <f>1+A55</f>
        <v>18</v>
      </c>
      <c r="B56" s="121">
        <v>12.46</v>
      </c>
      <c r="C56" s="120">
        <v>0.98</v>
      </c>
      <c r="D56" s="106">
        <v>15</v>
      </c>
      <c r="E56" s="70">
        <f>B56/B55</f>
        <v>1.1046099290780143</v>
      </c>
      <c r="F56" s="70">
        <f>D56/D55</f>
        <v>1.1538461538461537</v>
      </c>
      <c r="G56" s="70">
        <f>IF(F56&gt;MAX(1,E56),G55+1,G55)</f>
        <v>5</v>
      </c>
    </row>
    <row r="57" spans="1:9" x14ac:dyDescent="0.3">
      <c r="A57" s="107">
        <f>1+A56</f>
        <v>19</v>
      </c>
      <c r="B57" s="121">
        <v>13.71</v>
      </c>
      <c r="C57" s="120">
        <v>0.98</v>
      </c>
      <c r="D57" s="106">
        <v>16</v>
      </c>
      <c r="E57" s="70">
        <f>B57/B56</f>
        <v>1.1003210272873194</v>
      </c>
      <c r="F57" s="70">
        <f>D57/D56</f>
        <v>1.0666666666666667</v>
      </c>
      <c r="G57" s="70">
        <f>IF(F57&gt;MAX(1,E57),G56+1,G56)</f>
        <v>5</v>
      </c>
    </row>
    <row r="58" spans="1:9" x14ac:dyDescent="0.3">
      <c r="A58" s="107">
        <f>1+A57</f>
        <v>20</v>
      </c>
      <c r="B58" s="121">
        <v>15.26</v>
      </c>
      <c r="C58" s="120">
        <v>0.98</v>
      </c>
      <c r="D58" s="106">
        <v>18</v>
      </c>
      <c r="E58" s="70">
        <f>B58/B57</f>
        <v>1.113056163384391</v>
      </c>
      <c r="F58" s="70">
        <f>D58/D57</f>
        <v>1.125</v>
      </c>
      <c r="G58" s="70">
        <f>IF(F58&gt;MAX(1,E58),G57+1,G57)</f>
        <v>6</v>
      </c>
    </row>
    <row r="59" spans="1:9" x14ac:dyDescent="0.3">
      <c r="A59" s="107">
        <f>1+A58</f>
        <v>21</v>
      </c>
      <c r="B59" s="121">
        <v>17.16</v>
      </c>
      <c r="C59" s="120">
        <v>0.98</v>
      </c>
      <c r="D59" s="106">
        <v>20</v>
      </c>
      <c r="E59" s="70">
        <f>B59/B58</f>
        <v>1.1245085190039319</v>
      </c>
      <c r="F59" s="70">
        <f>D59/D58</f>
        <v>1.1111111111111112</v>
      </c>
      <c r="G59" s="70">
        <f>IF(F59&gt;MAX(1,E59),G58+1,G58)</f>
        <v>6</v>
      </c>
    </row>
    <row r="60" spans="1:9" x14ac:dyDescent="0.3">
      <c r="A60" s="107">
        <f>1+A59</f>
        <v>22</v>
      </c>
      <c r="B60" s="121">
        <v>19.09</v>
      </c>
      <c r="C60" s="120">
        <v>0.98</v>
      </c>
      <c r="D60" s="106">
        <v>22</v>
      </c>
      <c r="E60" s="70">
        <f>B60/B59</f>
        <v>1.1124708624708624</v>
      </c>
      <c r="F60" s="70">
        <f>D60/D59</f>
        <v>1.1000000000000001</v>
      </c>
      <c r="G60" s="70">
        <f>IF(F60&gt;MAX(1,E60),G59+1,G59)</f>
        <v>6</v>
      </c>
    </row>
    <row r="61" spans="1:9" x14ac:dyDescent="0.3">
      <c r="A61" s="107">
        <f>1+A60</f>
        <v>23</v>
      </c>
      <c r="B61" s="121">
        <v>21.34</v>
      </c>
      <c r="C61" s="120">
        <v>1</v>
      </c>
      <c r="D61" s="106">
        <v>25</v>
      </c>
      <c r="E61" s="70">
        <f>B61/B60</f>
        <v>1.1178627553693032</v>
      </c>
      <c r="F61" s="70">
        <f>D61/D60</f>
        <v>1.1363636363636365</v>
      </c>
      <c r="G61" s="70">
        <f>IF(F61&gt;MAX(1,E61),G60+1,G60)</f>
        <v>7</v>
      </c>
    </row>
    <row r="62" spans="1:9" x14ac:dyDescent="0.3">
      <c r="A62" s="107">
        <f>1+A61</f>
        <v>24</v>
      </c>
      <c r="B62" s="121">
        <v>23.94</v>
      </c>
      <c r="C62" s="120">
        <v>1</v>
      </c>
      <c r="D62" s="106">
        <v>28</v>
      </c>
      <c r="E62" s="70">
        <f>B62/B61</f>
        <v>1.1218369259606373</v>
      </c>
      <c r="F62" s="70">
        <f>D62/D61</f>
        <v>1.1200000000000001</v>
      </c>
      <c r="G62" s="70">
        <f>IF(F62&gt;MAX(1,E62),G61+1,G61)</f>
        <v>7</v>
      </c>
    </row>
    <row r="63" spans="1:9" x14ac:dyDescent="0.3">
      <c r="A63" s="107">
        <f>1+A62</f>
        <v>25</v>
      </c>
      <c r="B63" s="121">
        <v>26.86</v>
      </c>
      <c r="C63" s="120">
        <v>1</v>
      </c>
      <c r="D63" s="106">
        <v>31</v>
      </c>
      <c r="E63" s="70">
        <f>B63/B62</f>
        <v>1.1219715956558061</v>
      </c>
      <c r="F63" s="70">
        <f>D63/D62</f>
        <v>1.1071428571428572</v>
      </c>
      <c r="G63" s="70">
        <f>IF(F63&gt;MAX(1,E63),G62+1,G62)</f>
        <v>7</v>
      </c>
    </row>
    <row r="65" spans="1:10" s="96" customFormat="1" ht="15.6" x14ac:dyDescent="0.3">
      <c r="A65" s="101" t="s">
        <v>156</v>
      </c>
    </row>
    <row r="66" spans="1:10" s="96" customFormat="1" ht="15.6" x14ac:dyDescent="0.3">
      <c r="A66" s="101"/>
      <c r="B66" s="119" t="s">
        <v>155</v>
      </c>
    </row>
    <row r="67" spans="1:10" s="96" customFormat="1" ht="15.6" x14ac:dyDescent="0.3">
      <c r="A67" s="101"/>
    </row>
    <row r="68" spans="1:10" s="96" customFormat="1" ht="49.5" customHeight="1" x14ac:dyDescent="0.3">
      <c r="A68" s="117" t="s">
        <v>64</v>
      </c>
      <c r="B68" s="118" t="s">
        <v>154</v>
      </c>
      <c r="C68" s="117" t="s">
        <v>153</v>
      </c>
      <c r="D68" s="117" t="s">
        <v>152</v>
      </c>
      <c r="H68" s="111" t="s">
        <v>144</v>
      </c>
      <c r="I68" s="111" t="s">
        <v>143</v>
      </c>
      <c r="J68" s="111" t="s">
        <v>142</v>
      </c>
    </row>
    <row r="69" spans="1:10" s="96" customFormat="1" x14ac:dyDescent="0.3">
      <c r="A69" s="107">
        <v>1</v>
      </c>
      <c r="B69" s="106">
        <v>1.78</v>
      </c>
      <c r="C69" s="105">
        <v>1</v>
      </c>
      <c r="D69" s="104">
        <v>1.9856</v>
      </c>
    </row>
    <row r="70" spans="1:10" s="96" customFormat="1" x14ac:dyDescent="0.3">
      <c r="A70" s="107">
        <f>1+A69</f>
        <v>2</v>
      </c>
      <c r="B70" s="106">
        <v>1.78</v>
      </c>
      <c r="C70" s="105">
        <v>1</v>
      </c>
      <c r="D70" s="104">
        <v>2.1528</v>
      </c>
      <c r="F70" s="116" t="s">
        <v>151</v>
      </c>
      <c r="G70" s="115"/>
      <c r="H70" s="115"/>
      <c r="I70" s="115"/>
      <c r="J70" s="115"/>
    </row>
    <row r="71" spans="1:10" s="96" customFormat="1" x14ac:dyDescent="0.3">
      <c r="A71" s="107">
        <f>1+A70</f>
        <v>3</v>
      </c>
      <c r="B71" s="106">
        <v>1.78</v>
      </c>
      <c r="C71" s="105">
        <v>1</v>
      </c>
      <c r="D71" s="104">
        <v>2.3395000000000001</v>
      </c>
      <c r="F71" s="96" t="s">
        <v>150</v>
      </c>
    </row>
    <row r="72" spans="1:10" s="96" customFormat="1" x14ac:dyDescent="0.3">
      <c r="A72" s="107">
        <f>1+A71</f>
        <v>4</v>
      </c>
      <c r="B72" s="106">
        <v>1.78</v>
      </c>
      <c r="C72" s="105">
        <v>1</v>
      </c>
      <c r="D72" s="104">
        <v>2.5459999999999998</v>
      </c>
      <c r="F72" s="114" t="s">
        <v>140</v>
      </c>
      <c r="G72" s="114" t="s">
        <v>139</v>
      </c>
      <c r="H72" s="114" t="s">
        <v>149</v>
      </c>
      <c r="I72" s="114" t="s">
        <v>149</v>
      </c>
      <c r="J72" s="114" t="s">
        <v>149</v>
      </c>
    </row>
    <row r="73" spans="1:10" s="96" customFormat="1" x14ac:dyDescent="0.3">
      <c r="A73" s="107">
        <f>1+A72</f>
        <v>5</v>
      </c>
      <c r="B73" s="106">
        <v>1.78</v>
      </c>
      <c r="C73" s="105">
        <v>1</v>
      </c>
      <c r="D73" s="104">
        <v>2.7719999999999998</v>
      </c>
      <c r="F73" s="109">
        <v>0</v>
      </c>
      <c r="G73" s="109">
        <v>35</v>
      </c>
      <c r="H73" s="108">
        <v>191.0225911673275</v>
      </c>
      <c r="I73" s="108">
        <v>152.32487855289375</v>
      </c>
      <c r="J73" s="108">
        <v>154.24580027710692</v>
      </c>
    </row>
    <row r="74" spans="1:10" s="96" customFormat="1" x14ac:dyDescent="0.3">
      <c r="A74" s="107">
        <f>1+A73</f>
        <v>6</v>
      </c>
      <c r="B74" s="106">
        <v>1.78</v>
      </c>
      <c r="C74" s="105">
        <v>1</v>
      </c>
      <c r="D74" s="104">
        <v>3.0276000000000001</v>
      </c>
      <c r="F74" s="109">
        <v>0</v>
      </c>
      <c r="G74" s="109">
        <v>10</v>
      </c>
      <c r="H74" s="108">
        <v>15.452061877195955</v>
      </c>
      <c r="I74" s="108">
        <v>9.4079500253654516</v>
      </c>
      <c r="J74" s="108">
        <v>11.745658352923243</v>
      </c>
    </row>
    <row r="75" spans="1:10" s="96" customFormat="1" x14ac:dyDescent="0.3">
      <c r="A75" s="107">
        <f>1+A74</f>
        <v>7</v>
      </c>
      <c r="B75" s="106">
        <v>1.78</v>
      </c>
      <c r="C75" s="105">
        <v>1</v>
      </c>
      <c r="D75" s="104">
        <v>3.3127</v>
      </c>
      <c r="F75" s="109">
        <v>0</v>
      </c>
      <c r="G75" s="109">
        <v>1</v>
      </c>
      <c r="H75" s="108">
        <v>0.41285783486325167</v>
      </c>
      <c r="I75" s="108">
        <v>0.25164668029760107</v>
      </c>
      <c r="J75" s="108">
        <v>0.31455835037200131</v>
      </c>
    </row>
    <row r="76" spans="1:10" s="96" customFormat="1" x14ac:dyDescent="0.3">
      <c r="A76" s="107">
        <f>1+A75</f>
        <v>8</v>
      </c>
      <c r="B76" s="106">
        <v>1.78</v>
      </c>
      <c r="C76" s="105">
        <v>1</v>
      </c>
      <c r="D76" s="104">
        <v>3.6273</v>
      </c>
      <c r="F76" s="109">
        <v>1</v>
      </c>
      <c r="G76" s="109">
        <v>9</v>
      </c>
      <c r="H76" s="108">
        <v>15.572116472732896</v>
      </c>
      <c r="I76" s="108">
        <v>9.479200637508427</v>
      </c>
      <c r="J76" s="108">
        <v>11.834975694862891</v>
      </c>
    </row>
    <row r="77" spans="1:10" s="96" customFormat="1" x14ac:dyDescent="0.3">
      <c r="A77" s="107">
        <f>1+A76</f>
        <v>9</v>
      </c>
      <c r="B77" s="106">
        <v>1.78</v>
      </c>
      <c r="C77" s="105">
        <v>1</v>
      </c>
      <c r="D77" s="104">
        <v>3.9811000000000001</v>
      </c>
      <c r="F77" s="109">
        <v>1</v>
      </c>
      <c r="G77" s="109">
        <v>34</v>
      </c>
      <c r="H77" s="108">
        <v>197.36396686518384</v>
      </c>
      <c r="I77" s="108">
        <v>157.43609862938612</v>
      </c>
      <c r="J77" s="108">
        <v>159.36983374096775</v>
      </c>
    </row>
    <row r="78" spans="1:10" s="96" customFormat="1" x14ac:dyDescent="0.3">
      <c r="A78" s="107">
        <f>1+A77</f>
        <v>10</v>
      </c>
      <c r="B78" s="106">
        <v>1.78</v>
      </c>
      <c r="C78" s="105">
        <v>1</v>
      </c>
      <c r="D78" s="104">
        <v>4.3841999999999999</v>
      </c>
      <c r="F78" s="109">
        <v>10</v>
      </c>
      <c r="G78" s="109">
        <v>25</v>
      </c>
      <c r="H78" s="108">
        <v>252.49668166522662</v>
      </c>
      <c r="I78" s="108">
        <v>203.96530096610246</v>
      </c>
      <c r="J78" s="108">
        <v>203.96530096610246</v>
      </c>
    </row>
    <row r="79" spans="1:10" s="96" customFormat="1" x14ac:dyDescent="0.3">
      <c r="A79" s="107">
        <f>1+A78</f>
        <v>11</v>
      </c>
      <c r="B79" s="106">
        <v>2.6</v>
      </c>
      <c r="C79" s="105">
        <v>2</v>
      </c>
      <c r="D79" s="104">
        <v>4.8461999999999996</v>
      </c>
      <c r="F79" s="109">
        <v>11</v>
      </c>
      <c r="G79" s="109">
        <v>24</v>
      </c>
      <c r="H79" s="108">
        <v>258.32052132516719</v>
      </c>
      <c r="I79" s="108">
        <v>208.77524818096202</v>
      </c>
      <c r="J79" s="108">
        <v>208.77524818096202</v>
      </c>
    </row>
    <row r="80" spans="1:10" s="96" customFormat="1" x14ac:dyDescent="0.3">
      <c r="A80" s="107">
        <f>1+A79</f>
        <v>12</v>
      </c>
      <c r="B80" s="106">
        <v>3</v>
      </c>
      <c r="C80" s="105">
        <v>2</v>
      </c>
      <c r="D80" s="104">
        <v>5.3672000000000004</v>
      </c>
      <c r="F80" s="109">
        <v>12</v>
      </c>
      <c r="G80" s="109">
        <v>23</v>
      </c>
      <c r="H80" s="108">
        <v>263.88048094358925</v>
      </c>
      <c r="I80" s="108">
        <v>213.39701301137566</v>
      </c>
      <c r="J80" s="108">
        <v>213.39701301137566</v>
      </c>
    </row>
    <row r="81" spans="1:10" s="96" customFormat="1" x14ac:dyDescent="0.3">
      <c r="A81" s="107">
        <f>1+A80</f>
        <v>13</v>
      </c>
      <c r="B81" s="106">
        <v>3.4</v>
      </c>
      <c r="C81" s="105">
        <v>2</v>
      </c>
      <c r="D81" s="104">
        <v>5.9470999999999998</v>
      </c>
      <c r="F81" s="109">
        <v>0</v>
      </c>
      <c r="G81" s="109" t="s">
        <v>148</v>
      </c>
      <c r="H81" s="108">
        <v>322.72554033650783</v>
      </c>
      <c r="I81" s="108">
        <v>301.13815028188833</v>
      </c>
      <c r="J81" s="108">
        <v>302.62532323058895</v>
      </c>
    </row>
    <row r="82" spans="1:10" s="96" customFormat="1" x14ac:dyDescent="0.3">
      <c r="A82" s="107">
        <f>1+A81</f>
        <v>14</v>
      </c>
      <c r="B82" s="106">
        <v>3.73</v>
      </c>
      <c r="C82" s="105">
        <v>2</v>
      </c>
      <c r="D82" s="104">
        <v>6.6056999999999997</v>
      </c>
      <c r="F82" s="109">
        <v>1</v>
      </c>
      <c r="G82" s="109" t="s">
        <v>147</v>
      </c>
      <c r="H82" s="108">
        <v>333.73375242430382</v>
      </c>
      <c r="I82" s="108">
        <v>311.49724883745682</v>
      </c>
      <c r="J82" s="108">
        <v>312.99176690907041</v>
      </c>
    </row>
    <row r="83" spans="1:10" s="96" customFormat="1" x14ac:dyDescent="0.3">
      <c r="A83" s="107">
        <f>1+A82</f>
        <v>15</v>
      </c>
      <c r="B83" s="106">
        <v>4.13</v>
      </c>
      <c r="C83" s="105">
        <v>2</v>
      </c>
      <c r="D83" s="104">
        <v>7.343</v>
      </c>
    </row>
    <row r="84" spans="1:10" s="96" customFormat="1" ht="42.9" customHeight="1" x14ac:dyDescent="0.3">
      <c r="A84" s="107">
        <f>1+A83</f>
        <v>16</v>
      </c>
      <c r="B84" s="106">
        <v>4.6500000000000004</v>
      </c>
      <c r="C84" s="105">
        <v>2</v>
      </c>
      <c r="D84" s="104">
        <v>8.1686999999999994</v>
      </c>
      <c r="H84" s="111" t="s">
        <v>144</v>
      </c>
      <c r="I84" s="111" t="s">
        <v>143</v>
      </c>
      <c r="J84" s="111" t="s">
        <v>142</v>
      </c>
    </row>
    <row r="85" spans="1:10" s="96" customFormat="1" x14ac:dyDescent="0.3">
      <c r="A85" s="107">
        <f>1+A84</f>
        <v>17</v>
      </c>
      <c r="B85" s="106">
        <v>5.2</v>
      </c>
      <c r="C85" s="105">
        <v>2</v>
      </c>
      <c r="D85" s="104">
        <v>9.0829000000000004</v>
      </c>
      <c r="F85" s="113" t="s">
        <v>146</v>
      </c>
      <c r="G85" s="112"/>
      <c r="H85" s="112"/>
      <c r="I85" s="112"/>
      <c r="J85" s="112"/>
    </row>
    <row r="86" spans="1:10" s="96" customFormat="1" x14ac:dyDescent="0.3">
      <c r="A86" s="107">
        <f>1+A85</f>
        <v>18</v>
      </c>
      <c r="B86" s="106">
        <v>5.75</v>
      </c>
      <c r="C86" s="105">
        <v>2</v>
      </c>
      <c r="D86" s="104">
        <v>10.0954</v>
      </c>
      <c r="F86" s="110" t="s">
        <v>140</v>
      </c>
      <c r="G86" s="110" t="s">
        <v>139</v>
      </c>
      <c r="H86" s="110" t="s">
        <v>145</v>
      </c>
      <c r="I86" s="110" t="s">
        <v>145</v>
      </c>
      <c r="J86" s="110" t="s">
        <v>145</v>
      </c>
    </row>
    <row r="87" spans="1:10" s="96" customFormat="1" x14ac:dyDescent="0.3">
      <c r="A87" s="107">
        <f>1+A86</f>
        <v>19</v>
      </c>
      <c r="B87" s="106">
        <v>6.4</v>
      </c>
      <c r="C87" s="105">
        <v>2</v>
      </c>
      <c r="D87" s="104">
        <v>11.215999999999999</v>
      </c>
      <c r="F87" s="109">
        <v>0</v>
      </c>
      <c r="G87" s="109">
        <v>35</v>
      </c>
      <c r="H87" s="108">
        <v>131.32344270636267</v>
      </c>
      <c r="I87" s="108">
        <v>139.49227757401101</v>
      </c>
      <c r="J87" s="108">
        <v>139.11661784329991</v>
      </c>
    </row>
    <row r="88" spans="1:10" s="96" customFormat="1" x14ac:dyDescent="0.3">
      <c r="A88" s="107">
        <f>1+A87</f>
        <v>20</v>
      </c>
      <c r="B88" s="106">
        <v>7.21</v>
      </c>
      <c r="C88" s="105">
        <v>2</v>
      </c>
      <c r="D88" s="104">
        <v>12.444699999999999</v>
      </c>
      <c r="F88" s="109">
        <v>0</v>
      </c>
      <c r="G88" s="109">
        <v>10</v>
      </c>
      <c r="H88" s="108">
        <v>15.237096597288071</v>
      </c>
      <c r="I88" s="108">
        <v>15.267960370035507</v>
      </c>
      <c r="J88" s="108">
        <v>15.254574246472819</v>
      </c>
    </row>
    <row r="89" spans="1:10" s="96" customFormat="1" x14ac:dyDescent="0.3">
      <c r="A89" s="107">
        <f>1+A88</f>
        <v>21</v>
      </c>
      <c r="B89" s="106">
        <v>8.1999999999999993</v>
      </c>
      <c r="C89" s="105">
        <v>2</v>
      </c>
      <c r="D89" s="104">
        <v>13.8012</v>
      </c>
      <c r="F89" s="109">
        <v>1</v>
      </c>
      <c r="G89" s="109">
        <v>9</v>
      </c>
      <c r="H89" s="108">
        <v>13.933947236032285</v>
      </c>
      <c r="I89" s="108">
        <v>13.963613668085781</v>
      </c>
      <c r="J89" s="108">
        <v>13.950648552636212</v>
      </c>
    </row>
    <row r="90" spans="1:10" s="96" customFormat="1" x14ac:dyDescent="0.3">
      <c r="A90" s="107">
        <f>1+A89</f>
        <v>22</v>
      </c>
      <c r="B90" s="106">
        <v>9.1300000000000008</v>
      </c>
      <c r="C90" s="105">
        <v>2</v>
      </c>
      <c r="D90" s="104">
        <v>15.2659</v>
      </c>
      <c r="F90" s="109">
        <v>1</v>
      </c>
      <c r="G90" s="109">
        <v>34</v>
      </c>
      <c r="H90" s="108">
        <v>134.13379939683202</v>
      </c>
      <c r="I90" s="108">
        <v>142.56870487755006</v>
      </c>
      <c r="J90" s="108">
        <v>142.18889991578843</v>
      </c>
    </row>
    <row r="91" spans="1:10" s="96" customFormat="1" x14ac:dyDescent="0.3">
      <c r="A91" s="107">
        <f>1+A90</f>
        <v>23</v>
      </c>
      <c r="B91" s="106">
        <v>10.19</v>
      </c>
      <c r="C91" s="105">
        <v>2</v>
      </c>
      <c r="D91" s="104">
        <v>16.878</v>
      </c>
      <c r="F91" s="109">
        <v>10</v>
      </c>
      <c r="G91" s="109">
        <v>25</v>
      </c>
      <c r="H91" s="108">
        <v>166.94952904507682</v>
      </c>
      <c r="I91" s="108">
        <v>177.28795676529677</v>
      </c>
      <c r="J91" s="108">
        <v>177.28795676529677</v>
      </c>
    </row>
    <row r="92" spans="1:10" s="96" customFormat="1" x14ac:dyDescent="0.3">
      <c r="A92" s="107">
        <f>1+A91</f>
        <v>24</v>
      </c>
      <c r="B92" s="106">
        <v>11.45</v>
      </c>
      <c r="C92" s="105">
        <v>2</v>
      </c>
      <c r="D92" s="104">
        <v>18.647400000000001</v>
      </c>
      <c r="F92" s="109">
        <v>11</v>
      </c>
      <c r="G92" s="109">
        <v>24</v>
      </c>
      <c r="H92" s="108">
        <v>170.77975820171534</v>
      </c>
      <c r="I92" s="108">
        <v>181.32424908945978</v>
      </c>
      <c r="J92" s="108">
        <v>181.32424908945978</v>
      </c>
    </row>
    <row r="93" spans="1:10" s="96" customFormat="1" x14ac:dyDescent="0.3">
      <c r="A93" s="107">
        <f>1+A92</f>
        <v>25</v>
      </c>
      <c r="B93" s="106">
        <v>12.89</v>
      </c>
      <c r="C93" s="105">
        <v>2</v>
      </c>
      <c r="D93" s="104">
        <v>20.623200000000001</v>
      </c>
      <c r="F93" s="109">
        <v>12</v>
      </c>
      <c r="G93" s="109">
        <v>23</v>
      </c>
      <c r="H93" s="108">
        <v>174.45804591088364</v>
      </c>
      <c r="I93" s="108">
        <v>185.18411274415632</v>
      </c>
      <c r="J93" s="108">
        <v>185.18411274415632</v>
      </c>
    </row>
    <row r="94" spans="1:10" s="96" customFormat="1" x14ac:dyDescent="0.3">
      <c r="A94" s="107">
        <f>1+A93</f>
        <v>26</v>
      </c>
      <c r="B94" s="106">
        <v>14.56</v>
      </c>
      <c r="C94" s="105">
        <v>2</v>
      </c>
      <c r="D94" s="104">
        <v>22.854600000000001</v>
      </c>
      <c r="F94" s="109"/>
      <c r="G94" s="109"/>
      <c r="H94" s="108"/>
      <c r="I94" s="108"/>
      <c r="J94" s="108"/>
    </row>
    <row r="95" spans="1:10" s="96" customFormat="1" ht="42.6" customHeight="1" x14ac:dyDescent="0.3">
      <c r="A95" s="107">
        <f>1+A94</f>
        <v>27</v>
      </c>
      <c r="B95" s="106">
        <v>16.5</v>
      </c>
      <c r="C95" s="105">
        <v>2</v>
      </c>
      <c r="D95" s="104">
        <v>25.3613</v>
      </c>
      <c r="H95" s="111" t="s">
        <v>144</v>
      </c>
      <c r="I95" s="111" t="s">
        <v>143</v>
      </c>
      <c r="J95" s="111" t="s">
        <v>142</v>
      </c>
    </row>
    <row r="96" spans="1:10" s="96" customFormat="1" x14ac:dyDescent="0.3">
      <c r="A96" s="107">
        <f>1+A95</f>
        <v>28</v>
      </c>
      <c r="B96" s="106">
        <v>18.63</v>
      </c>
      <c r="C96" s="105">
        <v>2</v>
      </c>
      <c r="D96" s="104">
        <v>28.2316</v>
      </c>
      <c r="F96" s="96" t="s">
        <v>141</v>
      </c>
    </row>
    <row r="97" spans="1:10" s="96" customFormat="1" x14ac:dyDescent="0.3">
      <c r="A97" s="107">
        <f>1+A96</f>
        <v>29</v>
      </c>
      <c r="B97" s="106">
        <v>21.24</v>
      </c>
      <c r="C97" s="105">
        <v>2</v>
      </c>
      <c r="D97" s="104">
        <v>31.446000000000002</v>
      </c>
      <c r="F97" s="110" t="s">
        <v>140</v>
      </c>
      <c r="G97" s="110" t="s">
        <v>139</v>
      </c>
      <c r="H97" s="110" t="s">
        <v>138</v>
      </c>
      <c r="I97" s="110" t="s">
        <v>138</v>
      </c>
      <c r="J97" s="110" t="s">
        <v>138</v>
      </c>
    </row>
    <row r="98" spans="1:10" s="96" customFormat="1" x14ac:dyDescent="0.3">
      <c r="A98" s="107">
        <f>1+A97</f>
        <v>30</v>
      </c>
      <c r="B98" s="106">
        <v>24.38</v>
      </c>
      <c r="C98" s="105">
        <v>2</v>
      </c>
      <c r="D98" s="104">
        <v>35.083100000000002</v>
      </c>
      <c r="F98" s="109">
        <v>0</v>
      </c>
      <c r="G98" s="109">
        <v>20</v>
      </c>
      <c r="H98" s="108">
        <v>14.398764411561595</v>
      </c>
      <c r="I98" s="108">
        <v>14.505041417697209</v>
      </c>
      <c r="J98" s="108">
        <v>14.480234735930098</v>
      </c>
    </row>
    <row r="99" spans="1:10" s="96" customFormat="1" x14ac:dyDescent="0.3">
      <c r="A99" s="107">
        <f>1+A98</f>
        <v>31</v>
      </c>
      <c r="B99" s="106">
        <v>28.11</v>
      </c>
      <c r="C99" s="105">
        <v>2</v>
      </c>
      <c r="D99" s="104">
        <v>39.182200000000002</v>
      </c>
      <c r="F99" s="109">
        <v>1</v>
      </c>
      <c r="G99" s="109">
        <v>19</v>
      </c>
      <c r="H99" s="108">
        <v>13.873548056149833</v>
      </c>
      <c r="I99" s="108">
        <v>13.981297079368929</v>
      </c>
      <c r="J99" s="108">
        <v>13.956509034578716</v>
      </c>
    </row>
    <row r="100" spans="1:10" s="96" customFormat="1" x14ac:dyDescent="0.3">
      <c r="A100" s="107">
        <f>1+A99</f>
        <v>32</v>
      </c>
      <c r="B100" s="106">
        <v>32.049999999999997</v>
      </c>
      <c r="C100" s="105">
        <v>2</v>
      </c>
      <c r="D100" s="104">
        <v>44.116799999999998</v>
      </c>
    </row>
    <row r="101" spans="1:10" s="96" customFormat="1" x14ac:dyDescent="0.3">
      <c r="A101" s="107">
        <f>1+A100</f>
        <v>33</v>
      </c>
      <c r="B101" s="106">
        <v>36.17</v>
      </c>
      <c r="C101" s="105">
        <v>2</v>
      </c>
      <c r="D101" s="104">
        <v>49.7395</v>
      </c>
    </row>
    <row r="102" spans="1:10" s="96" customFormat="1" x14ac:dyDescent="0.3">
      <c r="A102" s="107">
        <f>1+A101</f>
        <v>34</v>
      </c>
      <c r="B102" s="106">
        <v>40.9</v>
      </c>
      <c r="C102" s="105">
        <v>2</v>
      </c>
      <c r="D102" s="104">
        <v>56.07</v>
      </c>
    </row>
    <row r="103" spans="1:10" s="96" customFormat="1" x14ac:dyDescent="0.3">
      <c r="A103" s="107">
        <f>1+A102</f>
        <v>35</v>
      </c>
      <c r="B103" s="106">
        <v>47.39</v>
      </c>
      <c r="C103" s="105">
        <v>2</v>
      </c>
      <c r="D103" s="104">
        <v>63.393300000000004</v>
      </c>
    </row>
    <row r="104" spans="1:10" s="96" customFormat="1" ht="15.6" x14ac:dyDescent="0.3">
      <c r="A104" s="101"/>
    </row>
    <row r="105" spans="1:10" s="96" customFormat="1" ht="15.6" x14ac:dyDescent="0.3">
      <c r="A105" s="101" t="s">
        <v>137</v>
      </c>
    </row>
    <row r="106" spans="1:10" s="96" customFormat="1" ht="15.6" x14ac:dyDescent="0.3">
      <c r="A106" s="102"/>
    </row>
    <row r="107" spans="1:10" s="96" customFormat="1" ht="15.6" x14ac:dyDescent="0.3">
      <c r="A107" s="103" t="s">
        <v>136</v>
      </c>
    </row>
    <row r="108" spans="1:10" s="96" customFormat="1" ht="15.6" x14ac:dyDescent="0.3">
      <c r="A108" s="103" t="s">
        <v>135</v>
      </c>
    </row>
    <row r="109" spans="1:10" s="96" customFormat="1" ht="15.6" x14ac:dyDescent="0.3">
      <c r="A109" s="103" t="s">
        <v>134</v>
      </c>
    </row>
    <row r="110" spans="1:10" s="96" customFormat="1" ht="15.6" x14ac:dyDescent="0.3">
      <c r="A110" s="103" t="s">
        <v>133</v>
      </c>
    </row>
    <row r="111" spans="1:10" s="96" customFormat="1" ht="15.6" x14ac:dyDescent="0.3">
      <c r="A111" s="102"/>
    </row>
    <row r="112" spans="1:10" s="96" customFormat="1" ht="15.6" x14ac:dyDescent="0.3">
      <c r="A112" s="101" t="s">
        <v>132</v>
      </c>
    </row>
    <row r="113" spans="1:14" ht="15.6" x14ac:dyDescent="0.3">
      <c r="A113" s="94" t="s">
        <v>92</v>
      </c>
    </row>
    <row r="114" spans="1:14" ht="15.6" x14ac:dyDescent="0.3">
      <c r="A114" s="94" t="s">
        <v>131</v>
      </c>
    </row>
    <row r="115" spans="1:14" ht="15.6" x14ac:dyDescent="0.3">
      <c r="A115" s="94"/>
    </row>
    <row r="116" spans="1:14" ht="15.6" x14ac:dyDescent="0.3">
      <c r="A116" s="94" t="s">
        <v>130</v>
      </c>
      <c r="N116" s="70" t="s">
        <v>129</v>
      </c>
    </row>
    <row r="117" spans="1:14" ht="15.6" x14ac:dyDescent="0.3">
      <c r="A117" s="94" t="s">
        <v>128</v>
      </c>
    </row>
    <row r="118" spans="1:14" ht="15.6" x14ac:dyDescent="0.3">
      <c r="A118" s="94"/>
    </row>
    <row r="119" spans="1:14" ht="15.6" x14ac:dyDescent="0.3">
      <c r="A119" s="94" t="s">
        <v>127</v>
      </c>
      <c r="J119" s="70">
        <f>H78/H91</f>
        <v>1.5124132611182859</v>
      </c>
    </row>
    <row r="120" spans="1:14" ht="15.6" x14ac:dyDescent="0.3">
      <c r="A120" s="94"/>
    </row>
    <row r="121" spans="1:14" ht="15.6" x14ac:dyDescent="0.3">
      <c r="A121" s="94" t="s">
        <v>126</v>
      </c>
      <c r="H121" s="98">
        <f>H78-J119*H91</f>
        <v>0</v>
      </c>
    </row>
    <row r="122" spans="1:14" ht="15.6" x14ac:dyDescent="0.3">
      <c r="A122" s="94" t="s">
        <v>125</v>
      </c>
      <c r="H122" s="98">
        <f>H79-J119*H92</f>
        <v>3.095029031857166E-2</v>
      </c>
    </row>
    <row r="123" spans="1:14" ht="15.6" x14ac:dyDescent="0.3">
      <c r="A123" s="94"/>
    </row>
    <row r="124" spans="1:14" ht="15.6" x14ac:dyDescent="0.3">
      <c r="A124" s="94" t="s">
        <v>124</v>
      </c>
    </row>
    <row r="125" spans="1:14" ht="15.6" x14ac:dyDescent="0.3">
      <c r="A125" s="94"/>
    </row>
    <row r="126" spans="1:14" ht="15.6" x14ac:dyDescent="0.3">
      <c r="A126" s="100" t="s">
        <v>123</v>
      </c>
    </row>
    <row r="127" spans="1:14" ht="15.6" x14ac:dyDescent="0.3">
      <c r="A127" s="94"/>
    </row>
    <row r="128" spans="1:14" ht="15.6" x14ac:dyDescent="0.3">
      <c r="A128" s="94" t="s">
        <v>122</v>
      </c>
    </row>
    <row r="129" spans="1:11" ht="15.6" x14ac:dyDescent="0.3">
      <c r="A129" s="94" t="s">
        <v>107</v>
      </c>
    </row>
    <row r="130" spans="1:11" ht="15.6" x14ac:dyDescent="0.3">
      <c r="A130" s="94" t="s">
        <v>106</v>
      </c>
    </row>
    <row r="131" spans="1:11" ht="15.6" x14ac:dyDescent="0.3">
      <c r="A131" s="94" t="s">
        <v>121</v>
      </c>
      <c r="G131" s="70">
        <f>H82/H99</f>
        <v>24.055400325396008</v>
      </c>
    </row>
    <row r="132" spans="1:11" ht="15.6" x14ac:dyDescent="0.3">
      <c r="A132" s="94" t="s">
        <v>104</v>
      </c>
      <c r="H132" s="98">
        <f>H77/H90*B70</f>
        <v>2.6190852909540743</v>
      </c>
      <c r="I132" s="99"/>
      <c r="J132" s="99"/>
    </row>
    <row r="133" spans="1:11" ht="15.6" x14ac:dyDescent="0.3">
      <c r="A133" s="94" t="s">
        <v>103</v>
      </c>
      <c r="C133" s="99">
        <f>H75</f>
        <v>0.41285783486325167</v>
      </c>
    </row>
    <row r="134" spans="1:11" ht="15.6" x14ac:dyDescent="0.3">
      <c r="A134" s="94" t="s">
        <v>120</v>
      </c>
      <c r="J134" s="98">
        <f>MIN(G131,H132) -C133</f>
        <v>2.2062274560908226</v>
      </c>
    </row>
    <row r="135" spans="1:11" ht="15.6" x14ac:dyDescent="0.3">
      <c r="A135" s="94" t="s">
        <v>119</v>
      </c>
      <c r="K135" s="70">
        <f>(H73+J134)/H87</f>
        <v>1.4713962308730757</v>
      </c>
    </row>
    <row r="136" spans="1:11" ht="15.6" x14ac:dyDescent="0.3">
      <c r="A136" s="94"/>
    </row>
    <row r="137" spans="1:11" ht="15.6" x14ac:dyDescent="0.3">
      <c r="A137" s="94" t="s">
        <v>118</v>
      </c>
      <c r="I137" s="98">
        <f>H78-K135*H91</f>
        <v>6.8477738822655283</v>
      </c>
    </row>
    <row r="138" spans="1:11" ht="15.6" x14ac:dyDescent="0.3">
      <c r="A138" s="94" t="s">
        <v>117</v>
      </c>
      <c r="I138" s="98">
        <f>H79-K135*H92</f>
        <v>7.0358287977479961</v>
      </c>
    </row>
    <row r="139" spans="1:11" ht="15.6" x14ac:dyDescent="0.3">
      <c r="A139" s="94"/>
    </row>
    <row r="140" spans="1:11" ht="15.6" x14ac:dyDescent="0.3">
      <c r="A140" s="94" t="s">
        <v>116</v>
      </c>
      <c r="H140" s="98"/>
    </row>
    <row r="141" spans="1:11" ht="15.6" x14ac:dyDescent="0.3">
      <c r="A141" s="94"/>
    </row>
    <row r="142" spans="1:11" ht="15.6" x14ac:dyDescent="0.3">
      <c r="A142" s="94" t="s">
        <v>115</v>
      </c>
    </row>
    <row r="143" spans="1:11" ht="15.6" x14ac:dyDescent="0.3">
      <c r="A143" s="94" t="s">
        <v>114</v>
      </c>
      <c r="J143" s="98">
        <f>MAX(H121,I137)</f>
        <v>6.8477738822655283</v>
      </c>
    </row>
    <row r="144" spans="1:11" ht="15.6" x14ac:dyDescent="0.3">
      <c r="A144" s="94" t="s">
        <v>113</v>
      </c>
      <c r="J144" s="98">
        <f>MAX(H122,I138)</f>
        <v>7.0358287977479961</v>
      </c>
    </row>
    <row r="145" spans="1:11" ht="15.6" x14ac:dyDescent="0.3">
      <c r="A145" s="94"/>
    </row>
    <row r="146" spans="1:11" ht="15.6" x14ac:dyDescent="0.3">
      <c r="A146" s="94" t="s">
        <v>112</v>
      </c>
    </row>
    <row r="147" spans="1:11" ht="15.6" x14ac:dyDescent="0.3">
      <c r="A147" s="94" t="s">
        <v>111</v>
      </c>
    </row>
    <row r="148" spans="1:11" ht="15.6" x14ac:dyDescent="0.3">
      <c r="A148" s="94" t="s">
        <v>110</v>
      </c>
    </row>
    <row r="149" spans="1:11" ht="15.6" x14ac:dyDescent="0.3">
      <c r="A149" s="94"/>
    </row>
    <row r="150" spans="1:11" ht="15.6" x14ac:dyDescent="0.3">
      <c r="A150" s="94" t="s">
        <v>109</v>
      </c>
    </row>
    <row r="151" spans="1:11" ht="15.6" x14ac:dyDescent="0.3">
      <c r="A151" s="94"/>
    </row>
    <row r="152" spans="1:11" ht="15.6" x14ac:dyDescent="0.3">
      <c r="A152" s="94" t="s">
        <v>108</v>
      </c>
    </row>
    <row r="153" spans="1:11" ht="15.6" x14ac:dyDescent="0.3">
      <c r="A153" s="94" t="s">
        <v>107</v>
      </c>
    </row>
    <row r="154" spans="1:11" ht="15.6" x14ac:dyDescent="0.3">
      <c r="A154" s="94" t="s">
        <v>106</v>
      </c>
    </row>
    <row r="155" spans="1:11" ht="15.6" x14ac:dyDescent="0.3">
      <c r="A155" s="94" t="s">
        <v>105</v>
      </c>
      <c r="G155" s="70">
        <f>I82/I99</f>
        <v>22.279567272560723</v>
      </c>
    </row>
    <row r="156" spans="1:11" ht="15.6" x14ac:dyDescent="0.3">
      <c r="A156" s="94" t="s">
        <v>104</v>
      </c>
      <c r="H156" s="98">
        <f>I77/I90*B70</f>
        <v>1.965622510220582</v>
      </c>
    </row>
    <row r="157" spans="1:11" ht="15.6" x14ac:dyDescent="0.3">
      <c r="A157" s="94" t="s">
        <v>103</v>
      </c>
      <c r="C157" s="99">
        <f>I75</f>
        <v>0.25164668029760107</v>
      </c>
    </row>
    <row r="158" spans="1:11" ht="15.6" x14ac:dyDescent="0.3">
      <c r="A158" s="94" t="s">
        <v>102</v>
      </c>
      <c r="J158" s="98">
        <f>MIN(G155,H156) -C157</f>
        <v>1.713975829922981</v>
      </c>
    </row>
    <row r="159" spans="1:11" ht="15.6" x14ac:dyDescent="0.3">
      <c r="A159" s="94" t="s">
        <v>101</v>
      </c>
      <c r="K159" s="70">
        <f>(I73+H156)/I87</f>
        <v>1.106086327834541</v>
      </c>
    </row>
    <row r="160" spans="1:11" ht="15.6" x14ac:dyDescent="0.3">
      <c r="A160" s="94"/>
    </row>
    <row r="161" spans="1:16" ht="15.6" x14ac:dyDescent="0.3">
      <c r="A161" s="94" t="s">
        <v>100</v>
      </c>
      <c r="K161" s="98">
        <f>I78-MIN(1,K$159)*I91</f>
        <v>26.677344200805692</v>
      </c>
    </row>
    <row r="162" spans="1:16" ht="15.6" x14ac:dyDescent="0.3">
      <c r="A162" s="94" t="s">
        <v>99</v>
      </c>
      <c r="K162" s="98">
        <f>I79-MIN(1,K$159)*I92</f>
        <v>27.45099909150224</v>
      </c>
    </row>
    <row r="163" spans="1:16" ht="15.6" x14ac:dyDescent="0.3">
      <c r="A163" s="94"/>
    </row>
    <row r="164" spans="1:16" ht="15.6" x14ac:dyDescent="0.3">
      <c r="A164" s="94" t="s">
        <v>98</v>
      </c>
    </row>
    <row r="165" spans="1:16" ht="15.6" x14ac:dyDescent="0.3">
      <c r="A165" s="94"/>
    </row>
    <row r="166" spans="1:16" ht="15.6" x14ac:dyDescent="0.3">
      <c r="A166" s="94" t="s">
        <v>97</v>
      </c>
      <c r="P166" s="92">
        <f>MIN(1,K159)*B79*250000/1000</f>
        <v>650</v>
      </c>
    </row>
    <row r="167" spans="1:16" ht="15.6" x14ac:dyDescent="0.3">
      <c r="A167" s="94"/>
      <c r="J167" s="92"/>
    </row>
    <row r="168" spans="1:16" ht="15.6" x14ac:dyDescent="0.3">
      <c r="A168" s="94" t="s">
        <v>96</v>
      </c>
      <c r="G168" s="70">
        <f>K161*250000/1000</f>
        <v>6669.3360502014229</v>
      </c>
    </row>
    <row r="169" spans="1:16" ht="15.6" x14ac:dyDescent="0.3">
      <c r="A169" s="94" t="s">
        <v>95</v>
      </c>
      <c r="G169" s="70">
        <f>K162*250000/1000</f>
        <v>6862.7497728755607</v>
      </c>
    </row>
    <row r="170" spans="1:16" ht="15.6" x14ac:dyDescent="0.3">
      <c r="A170" s="94"/>
    </row>
    <row r="171" spans="1:16" ht="15.6" x14ac:dyDescent="0.3">
      <c r="A171" s="94" t="s">
        <v>94</v>
      </c>
      <c r="J171" s="92">
        <f>(G168+P166+G169)/2</f>
        <v>7091.0429115384923</v>
      </c>
    </row>
    <row r="172" spans="1:16" ht="15.6" x14ac:dyDescent="0.3">
      <c r="A172" s="94"/>
      <c r="J172" s="92"/>
    </row>
    <row r="173" spans="1:16" s="96" customFormat="1" ht="15.6" x14ac:dyDescent="0.3">
      <c r="A173" s="97" t="s">
        <v>93</v>
      </c>
    </row>
    <row r="174" spans="1:16" ht="15.6" x14ac:dyDescent="0.3">
      <c r="A174" s="94" t="s">
        <v>92</v>
      </c>
    </row>
    <row r="176" spans="1:16" ht="15.6" x14ac:dyDescent="0.3">
      <c r="A176" s="94" t="s">
        <v>91</v>
      </c>
      <c r="I176" s="70">
        <f>K135</f>
        <v>1.4713962308730757</v>
      </c>
    </row>
    <row r="177" spans="1:9" ht="15.6" x14ac:dyDescent="0.3">
      <c r="A177" s="94" t="s">
        <v>86</v>
      </c>
      <c r="I177" s="92">
        <f>B79</f>
        <v>2.6</v>
      </c>
    </row>
    <row r="178" spans="1:9" ht="15.6" x14ac:dyDescent="0.3">
      <c r="A178" s="95" t="s">
        <v>85</v>
      </c>
      <c r="I178" s="92">
        <f>I176*I177</f>
        <v>3.8256302002699969</v>
      </c>
    </row>
    <row r="179" spans="1:9" ht="15.6" x14ac:dyDescent="0.3">
      <c r="A179" s="94" t="s">
        <v>84</v>
      </c>
      <c r="I179" s="70">
        <f>250000/1000</f>
        <v>250</v>
      </c>
    </row>
    <row r="180" spans="1:9" ht="15.6" x14ac:dyDescent="0.3">
      <c r="A180" s="95" t="s">
        <v>83</v>
      </c>
      <c r="I180" s="92">
        <f>I178*I179</f>
        <v>956.40755006749919</v>
      </c>
    </row>
    <row r="181" spans="1:9" ht="15.6" x14ac:dyDescent="0.3">
      <c r="A181" s="94" t="s">
        <v>82</v>
      </c>
      <c r="I181" s="70">
        <v>12</v>
      </c>
    </row>
    <row r="182" spans="1:9" ht="15.6" x14ac:dyDescent="0.3">
      <c r="A182" s="95" t="s">
        <v>81</v>
      </c>
      <c r="I182" s="92">
        <f>I180/I181</f>
        <v>79.700629172291599</v>
      </c>
    </row>
    <row r="183" spans="1:9" ht="15.6" x14ac:dyDescent="0.3">
      <c r="A183" s="94" t="s">
        <v>80</v>
      </c>
      <c r="I183" s="70">
        <v>6</v>
      </c>
    </row>
    <row r="184" spans="1:9" x14ac:dyDescent="0.3">
      <c r="A184" s="93" t="s">
        <v>79</v>
      </c>
      <c r="I184" s="92">
        <f>I182*I183</f>
        <v>478.20377503374959</v>
      </c>
    </row>
    <row r="186" spans="1:9" x14ac:dyDescent="0.3">
      <c r="A186" s="70" t="s">
        <v>90</v>
      </c>
    </row>
    <row r="187" spans="1:9" x14ac:dyDescent="0.3">
      <c r="A187" s="70" t="s">
        <v>89</v>
      </c>
      <c r="I187" s="70">
        <f>K135</f>
        <v>1.4713962308730757</v>
      </c>
    </row>
    <row r="188" spans="1:9" x14ac:dyDescent="0.3">
      <c r="A188" s="70" t="s">
        <v>88</v>
      </c>
      <c r="I188" s="70">
        <f>MIN(1,K159)</f>
        <v>1</v>
      </c>
    </row>
    <row r="189" spans="1:9" x14ac:dyDescent="0.3">
      <c r="A189" s="70" t="s">
        <v>87</v>
      </c>
      <c r="I189" s="70">
        <f>MIN(I187,I188)</f>
        <v>1</v>
      </c>
    </row>
    <row r="190" spans="1:9" ht="15.6" x14ac:dyDescent="0.3">
      <c r="A190" s="94" t="s">
        <v>86</v>
      </c>
      <c r="I190" s="92">
        <f>I177</f>
        <v>2.6</v>
      </c>
    </row>
    <row r="191" spans="1:9" ht="15.6" x14ac:dyDescent="0.3">
      <c r="A191" s="95" t="s">
        <v>85</v>
      </c>
      <c r="I191" s="92">
        <f>I189*I190</f>
        <v>2.6</v>
      </c>
    </row>
    <row r="192" spans="1:9" ht="15.6" x14ac:dyDescent="0.3">
      <c r="A192" s="94" t="s">
        <v>84</v>
      </c>
      <c r="I192" s="70">
        <v>250</v>
      </c>
    </row>
    <row r="193" spans="1:9" ht="15.6" x14ac:dyDescent="0.3">
      <c r="A193" s="95" t="s">
        <v>83</v>
      </c>
      <c r="I193" s="92">
        <f>I191*I192</f>
        <v>650</v>
      </c>
    </row>
    <row r="194" spans="1:9" ht="15.6" x14ac:dyDescent="0.3">
      <c r="A194" s="94" t="s">
        <v>82</v>
      </c>
      <c r="I194" s="70">
        <v>12</v>
      </c>
    </row>
    <row r="195" spans="1:9" ht="15.6" x14ac:dyDescent="0.3">
      <c r="A195" s="95" t="s">
        <v>81</v>
      </c>
      <c r="I195" s="92">
        <f>I193/I194</f>
        <v>54.166666666666664</v>
      </c>
    </row>
    <row r="196" spans="1:9" ht="15.6" x14ac:dyDescent="0.3">
      <c r="A196" s="94" t="s">
        <v>80</v>
      </c>
      <c r="I196" s="70">
        <v>6</v>
      </c>
    </row>
    <row r="197" spans="1:9" x14ac:dyDescent="0.3">
      <c r="A197" s="93" t="s">
        <v>79</v>
      </c>
      <c r="I197" s="92">
        <f>I195*I196</f>
        <v>325</v>
      </c>
    </row>
  </sheetData>
  <pageMargins left="0.7" right="0.7" top="0.75" bottom="0.75" header="0.3" footer="0.3"/>
  <headerFooter>
    <oddFooter>&amp;C_x000D_&amp;1#&amp;"Calibri"&amp;10&amp;K000000 CONFIDENTIAL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A7954-2273-4E3B-8ACA-E63737610E3A}">
  <sheetPr>
    <tabColor theme="6" tint="0.39997558519241921"/>
  </sheetPr>
  <dimension ref="A1:T28"/>
  <sheetViews>
    <sheetView zoomScaleNormal="100" workbookViewId="0">
      <selection activeCell="K19" sqref="K19"/>
    </sheetView>
  </sheetViews>
  <sheetFormatPr defaultColWidth="8.88671875" defaultRowHeight="13.2" x14ac:dyDescent="0.25"/>
  <cols>
    <col min="1" max="2" width="12.44140625" style="75" customWidth="1"/>
    <col min="3" max="4" width="10.33203125" style="75" customWidth="1"/>
    <col min="5" max="5" width="4.6640625" style="75" customWidth="1"/>
    <col min="6" max="9" width="10.33203125" style="75" customWidth="1"/>
    <col min="10" max="11" width="8.88671875" style="75"/>
    <col min="12" max="12" width="24.88671875" style="75" customWidth="1"/>
    <col min="13" max="13" width="14.88671875" style="75" customWidth="1"/>
    <col min="14" max="14" width="74.33203125" style="75" customWidth="1"/>
    <col min="15" max="15" width="18.6640625" style="75" customWidth="1"/>
    <col min="16" max="16" width="8.88671875" style="75"/>
    <col min="17" max="17" width="18.6640625" style="75" bestFit="1" customWidth="1"/>
    <col min="18" max="18" width="11.109375" style="75" bestFit="1" customWidth="1"/>
    <col min="19" max="16384" width="8.88671875" style="75"/>
  </cols>
  <sheetData>
    <row r="1" spans="1:20" ht="13.8" thickBot="1" x14ac:dyDescent="0.3">
      <c r="A1" s="152" t="s">
        <v>202</v>
      </c>
      <c r="B1" s="152"/>
      <c r="C1" s="152"/>
      <c r="D1" s="152"/>
      <c r="E1" s="152"/>
      <c r="F1" s="152"/>
      <c r="G1" s="152"/>
      <c r="H1" s="152"/>
      <c r="I1" s="152"/>
      <c r="K1" s="151" t="s">
        <v>201</v>
      </c>
      <c r="L1" s="151"/>
      <c r="M1" s="151"/>
      <c r="N1" s="151"/>
      <c r="O1" s="151"/>
      <c r="P1" s="151"/>
      <c r="Q1" s="151"/>
    </row>
    <row r="2" spans="1:20" ht="16.2" thickBot="1" x14ac:dyDescent="0.35">
      <c r="A2" s="145">
        <v>0.04</v>
      </c>
      <c r="B2" s="144" t="s">
        <v>197</v>
      </c>
      <c r="C2" s="150" t="s">
        <v>196</v>
      </c>
      <c r="D2" s="144" t="s">
        <v>195</v>
      </c>
      <c r="F2" s="145">
        <v>0.03</v>
      </c>
      <c r="G2" s="144" t="s">
        <v>197</v>
      </c>
      <c r="H2" s="144" t="s">
        <v>196</v>
      </c>
      <c r="I2" s="143" t="s">
        <v>195</v>
      </c>
      <c r="K2" s="127" t="s">
        <v>200</v>
      </c>
      <c r="L2" s="127"/>
      <c r="M2" s="134">
        <v>0.02</v>
      </c>
      <c r="O2" s="127"/>
      <c r="P2" s="127"/>
      <c r="Q2" s="127"/>
      <c r="R2" s="127"/>
      <c r="S2" s="127"/>
    </row>
    <row r="3" spans="1:20" ht="15" thickBot="1" x14ac:dyDescent="0.35">
      <c r="A3" s="141">
        <v>50</v>
      </c>
      <c r="B3" s="140">
        <v>288.41000000000003</v>
      </c>
      <c r="C3" s="140">
        <v>6.1950000000000003</v>
      </c>
      <c r="D3" s="140">
        <v>3.762</v>
      </c>
      <c r="F3" s="141">
        <v>50</v>
      </c>
      <c r="G3" s="142">
        <v>383.69</v>
      </c>
      <c r="H3" s="142">
        <v>6.3680000000000003</v>
      </c>
      <c r="I3" s="139">
        <v>3.8149999999999999</v>
      </c>
      <c r="K3" s="127"/>
      <c r="L3" s="127"/>
      <c r="M3" s="149" t="s">
        <v>199</v>
      </c>
      <c r="N3" s="127"/>
      <c r="P3" s="127"/>
      <c r="S3" s="128"/>
      <c r="T3" s="148"/>
    </row>
    <row r="4" spans="1:20" ht="15" thickBot="1" x14ac:dyDescent="0.35">
      <c r="A4" s="141">
        <v>51</v>
      </c>
      <c r="B4" s="140">
        <v>298.31</v>
      </c>
      <c r="C4" s="140">
        <v>6.1909999999999998</v>
      </c>
      <c r="D4" s="140">
        <v>3.76</v>
      </c>
      <c r="F4" s="141">
        <v>51</v>
      </c>
      <c r="G4" s="142">
        <v>393.78</v>
      </c>
      <c r="H4" s="142">
        <v>6.3630000000000004</v>
      </c>
      <c r="I4" s="139">
        <v>3.8140000000000001</v>
      </c>
      <c r="K4" s="127"/>
      <c r="L4" s="127" t="s">
        <v>184</v>
      </c>
      <c r="M4" s="131">
        <v>100000</v>
      </c>
      <c r="P4" s="127"/>
      <c r="S4" s="128"/>
      <c r="T4" s="148"/>
    </row>
    <row r="5" spans="1:20" ht="15" thickBot="1" x14ac:dyDescent="0.35">
      <c r="A5" s="141">
        <v>52</v>
      </c>
      <c r="B5" s="140">
        <v>308.5</v>
      </c>
      <c r="C5" s="140">
        <v>6.1859999999999999</v>
      </c>
      <c r="D5" s="140">
        <v>3.7589999999999999</v>
      </c>
      <c r="F5" s="141">
        <v>52</v>
      </c>
      <c r="G5" s="142">
        <v>404.1</v>
      </c>
      <c r="H5" s="142">
        <v>6.359</v>
      </c>
      <c r="I5" s="139">
        <v>3.8119999999999998</v>
      </c>
      <c r="K5" s="127"/>
      <c r="L5" s="127" t="s">
        <v>183</v>
      </c>
      <c r="M5" s="131">
        <f>B10</f>
        <v>517.98</v>
      </c>
      <c r="P5" s="128"/>
      <c r="S5" s="128"/>
      <c r="T5" s="148"/>
    </row>
    <row r="6" spans="1:20" ht="15" thickBot="1" x14ac:dyDescent="0.35">
      <c r="A6" s="141">
        <v>53</v>
      </c>
      <c r="B6" s="140">
        <v>318.95999999999998</v>
      </c>
      <c r="C6" s="140">
        <v>6.1820000000000004</v>
      </c>
      <c r="D6" s="140">
        <v>3.758</v>
      </c>
      <c r="F6" s="141">
        <v>53</v>
      </c>
      <c r="G6" s="142">
        <v>414.6</v>
      </c>
      <c r="H6" s="142">
        <v>6.3540000000000001</v>
      </c>
      <c r="I6" s="139">
        <v>3.8109999999999999</v>
      </c>
      <c r="K6" s="127"/>
      <c r="L6" s="127" t="s">
        <v>181</v>
      </c>
      <c r="M6" s="131">
        <f>C10</f>
        <v>6.55</v>
      </c>
      <c r="P6" s="132"/>
      <c r="S6" s="128"/>
      <c r="T6" s="148"/>
    </row>
    <row r="7" spans="1:20" ht="15" thickBot="1" x14ac:dyDescent="0.35">
      <c r="A7" s="141">
        <v>54</v>
      </c>
      <c r="B7" s="140">
        <v>329.7</v>
      </c>
      <c r="C7" s="140">
        <v>6.1769999999999996</v>
      </c>
      <c r="D7" s="140">
        <v>3.7559999999999998</v>
      </c>
      <c r="F7" s="141">
        <v>54</v>
      </c>
      <c r="G7" s="142">
        <v>425.31</v>
      </c>
      <c r="H7" s="142">
        <v>6.35</v>
      </c>
      <c r="I7" s="139">
        <v>3.8090000000000002</v>
      </c>
      <c r="K7" s="127"/>
      <c r="L7" s="127" t="s">
        <v>179</v>
      </c>
      <c r="M7" s="131">
        <v>0</v>
      </c>
      <c r="P7" s="127"/>
      <c r="S7" s="128"/>
      <c r="T7" s="148"/>
    </row>
    <row r="8" spans="1:20" ht="15" thickBot="1" x14ac:dyDescent="0.35">
      <c r="A8" s="147"/>
      <c r="B8" s="147"/>
      <c r="C8" s="147"/>
      <c r="D8" s="147"/>
      <c r="F8" s="147"/>
      <c r="G8" s="147"/>
      <c r="H8" s="147"/>
      <c r="I8" s="146"/>
      <c r="K8" s="127"/>
      <c r="L8" s="127" t="s">
        <v>177</v>
      </c>
      <c r="M8" s="130">
        <f>(M5*(M4/1000)-M7)/M6</f>
        <v>7908.0916030534354</v>
      </c>
      <c r="N8" s="127" t="s">
        <v>198</v>
      </c>
      <c r="P8" s="127"/>
      <c r="S8" s="127"/>
    </row>
    <row r="9" spans="1:20" ht="16.2" thickBot="1" x14ac:dyDescent="0.35">
      <c r="A9" s="145">
        <v>0.02</v>
      </c>
      <c r="B9" s="144" t="s">
        <v>197</v>
      </c>
      <c r="C9" s="144" t="s">
        <v>196</v>
      </c>
      <c r="D9" s="144" t="s">
        <v>195</v>
      </c>
      <c r="F9" s="145">
        <v>0.01</v>
      </c>
      <c r="G9" s="144" t="s">
        <v>197</v>
      </c>
      <c r="H9" s="144" t="s">
        <v>196</v>
      </c>
      <c r="I9" s="143" t="s">
        <v>195</v>
      </c>
      <c r="K9" s="127"/>
      <c r="P9" s="127"/>
      <c r="S9" s="127"/>
    </row>
    <row r="10" spans="1:20" ht="15" thickBot="1" x14ac:dyDescent="0.35">
      <c r="A10" s="141">
        <v>50</v>
      </c>
      <c r="B10" s="142">
        <v>517.98</v>
      </c>
      <c r="C10" s="142">
        <v>6.55</v>
      </c>
      <c r="D10" s="142">
        <v>3.87</v>
      </c>
      <c r="F10" s="141">
        <v>50</v>
      </c>
      <c r="G10" s="140">
        <v>709.27</v>
      </c>
      <c r="H10" s="140">
        <v>6.7409999999999997</v>
      </c>
      <c r="I10" s="137">
        <v>3.927</v>
      </c>
      <c r="K10" s="128" t="s">
        <v>194</v>
      </c>
      <c r="L10" s="127"/>
      <c r="M10" s="134">
        <v>0.02</v>
      </c>
      <c r="P10" s="127"/>
      <c r="S10" s="128"/>
    </row>
    <row r="11" spans="1:20" ht="15" thickBot="1" x14ac:dyDescent="0.35">
      <c r="A11" s="138">
        <v>51</v>
      </c>
      <c r="B11" s="139">
        <v>527.24</v>
      </c>
      <c r="C11" s="139">
        <v>6.5449999999999999</v>
      </c>
      <c r="D11" s="139">
        <v>3.8690000000000002</v>
      </c>
      <c r="F11" s="138">
        <v>51</v>
      </c>
      <c r="G11" s="137">
        <v>715.7</v>
      </c>
      <c r="H11" s="137">
        <v>6.7370000000000001</v>
      </c>
      <c r="I11" s="137">
        <v>3.9249999999999998</v>
      </c>
      <c r="K11" s="128"/>
      <c r="L11" s="128"/>
      <c r="M11" s="133" t="s">
        <v>185</v>
      </c>
      <c r="P11" s="127"/>
      <c r="S11" s="128"/>
    </row>
    <row r="12" spans="1:20" ht="15" thickBot="1" x14ac:dyDescent="0.35">
      <c r="A12" s="138">
        <v>52</v>
      </c>
      <c r="B12" s="139">
        <v>536.61</v>
      </c>
      <c r="C12" s="139">
        <v>6.5410000000000004</v>
      </c>
      <c r="D12" s="139">
        <v>3.867</v>
      </c>
      <c r="F12" s="138">
        <v>52</v>
      </c>
      <c r="G12" s="137">
        <v>722.16</v>
      </c>
      <c r="H12" s="137">
        <v>6.7320000000000002</v>
      </c>
      <c r="I12" s="137">
        <v>3.9239999999999999</v>
      </c>
      <c r="L12" s="127" t="s">
        <v>184</v>
      </c>
      <c r="M12" s="131">
        <v>150000</v>
      </c>
      <c r="N12" s="127" t="s">
        <v>193</v>
      </c>
      <c r="P12" s="127"/>
      <c r="S12" s="128"/>
    </row>
    <row r="13" spans="1:20" ht="15" thickBot="1" x14ac:dyDescent="0.35">
      <c r="A13" s="138">
        <v>53</v>
      </c>
      <c r="B13" s="139">
        <v>546.09</v>
      </c>
      <c r="C13" s="139">
        <v>6.5359999999999996</v>
      </c>
      <c r="D13" s="139">
        <v>3.8660000000000001</v>
      </c>
      <c r="F13" s="138">
        <v>53</v>
      </c>
      <c r="G13" s="137">
        <v>728.63</v>
      </c>
      <c r="H13" s="137">
        <v>6.7270000000000003</v>
      </c>
      <c r="I13" s="137">
        <v>3.9220000000000002</v>
      </c>
      <c r="K13" s="128"/>
      <c r="L13" s="127" t="s">
        <v>192</v>
      </c>
      <c r="M13" s="131">
        <f>B12</f>
        <v>536.61</v>
      </c>
      <c r="N13" s="127" t="s">
        <v>191</v>
      </c>
      <c r="O13" s="127"/>
      <c r="P13" s="127"/>
      <c r="Q13" s="127"/>
      <c r="R13" s="127"/>
      <c r="S13" s="128"/>
    </row>
    <row r="14" spans="1:20" ht="15" thickBot="1" x14ac:dyDescent="0.35">
      <c r="A14" s="138">
        <v>54</v>
      </c>
      <c r="B14" s="139">
        <v>555.67999999999995</v>
      </c>
      <c r="C14" s="139">
        <v>6.5309999999999997</v>
      </c>
      <c r="D14" s="139">
        <v>3.8639999999999999</v>
      </c>
      <c r="F14" s="138">
        <v>54</v>
      </c>
      <c r="G14" s="137">
        <v>735.12</v>
      </c>
      <c r="H14" s="137">
        <v>6.7220000000000004</v>
      </c>
      <c r="I14" s="137">
        <v>3.9209999999999998</v>
      </c>
      <c r="K14" s="128"/>
      <c r="L14" s="127" t="s">
        <v>190</v>
      </c>
      <c r="M14" s="131">
        <f>C12</f>
        <v>6.5410000000000004</v>
      </c>
      <c r="N14" s="127" t="s">
        <v>189</v>
      </c>
      <c r="O14" s="127"/>
      <c r="P14" s="127"/>
      <c r="Q14" s="127"/>
      <c r="R14" s="127"/>
      <c r="S14" s="128"/>
    </row>
    <row r="15" spans="1:20" ht="16.2" thickBot="1" x14ac:dyDescent="0.35">
      <c r="A15" s="136" t="s">
        <v>188</v>
      </c>
      <c r="K15" s="127"/>
      <c r="L15" s="127" t="s">
        <v>179</v>
      </c>
      <c r="M15" s="131">
        <v>5000</v>
      </c>
      <c r="N15" s="127" t="s">
        <v>187</v>
      </c>
      <c r="O15" s="127"/>
      <c r="P15" s="127"/>
      <c r="Q15" s="127"/>
      <c r="R15" s="127"/>
      <c r="S15" s="127"/>
    </row>
    <row r="16" spans="1:20" ht="15" thickBot="1" x14ac:dyDescent="0.35">
      <c r="C16" s="82"/>
      <c r="D16" s="82"/>
      <c r="J16" s="129"/>
      <c r="K16" s="127"/>
      <c r="L16" s="127" t="s">
        <v>177</v>
      </c>
      <c r="M16" s="130">
        <f>(M13*(M12/1000)-M15)/M14</f>
        <v>11541.278092034856</v>
      </c>
      <c r="N16" s="127" t="s">
        <v>176</v>
      </c>
      <c r="O16" s="127"/>
      <c r="P16" s="127"/>
      <c r="Q16" s="127"/>
      <c r="R16" s="127"/>
      <c r="S16" s="127"/>
    </row>
    <row r="17" spans="1:19" ht="14.4" x14ac:dyDescent="0.3">
      <c r="A17" s="135"/>
      <c r="B17" s="135"/>
      <c r="C17" s="82"/>
      <c r="D17" s="82"/>
      <c r="J17" s="129"/>
      <c r="K17" s="127"/>
      <c r="L17" s="128"/>
      <c r="M17" s="127"/>
      <c r="O17" s="127"/>
      <c r="P17" s="127"/>
      <c r="Q17" s="128"/>
      <c r="R17" s="128"/>
      <c r="S17" s="127"/>
    </row>
    <row r="18" spans="1:19" ht="14.4" x14ac:dyDescent="0.3">
      <c r="J18" s="129"/>
      <c r="K18" s="128" t="s">
        <v>186</v>
      </c>
      <c r="M18" s="134">
        <v>0.02</v>
      </c>
      <c r="O18" s="127"/>
      <c r="P18" s="127"/>
      <c r="S18" s="127"/>
    </row>
    <row r="19" spans="1:19" ht="14.4" x14ac:dyDescent="0.3">
      <c r="J19" s="129"/>
      <c r="K19" s="127"/>
      <c r="L19" s="128"/>
      <c r="M19" s="133" t="s">
        <v>185</v>
      </c>
      <c r="N19" s="127"/>
      <c r="O19" s="127"/>
      <c r="P19" s="127"/>
      <c r="S19" s="127"/>
    </row>
    <row r="20" spans="1:19" ht="14.4" x14ac:dyDescent="0.3">
      <c r="J20" s="129"/>
      <c r="L20" s="127" t="s">
        <v>184</v>
      </c>
      <c r="M20" s="131">
        <v>75000</v>
      </c>
      <c r="O20" s="128"/>
      <c r="P20" s="128"/>
      <c r="S20" s="127"/>
    </row>
    <row r="21" spans="1:19" ht="14.4" x14ac:dyDescent="0.3">
      <c r="J21" s="129"/>
      <c r="L21" s="127" t="s">
        <v>183</v>
      </c>
      <c r="M21" s="131">
        <f>B10</f>
        <v>517.98</v>
      </c>
      <c r="N21" s="127" t="s">
        <v>182</v>
      </c>
      <c r="O21" s="132"/>
      <c r="P21" s="132"/>
      <c r="S21" s="127"/>
    </row>
    <row r="22" spans="1:19" ht="14.4" x14ac:dyDescent="0.3">
      <c r="J22" s="129"/>
      <c r="L22" s="127" t="s">
        <v>181</v>
      </c>
      <c r="M22" s="131">
        <f>C10</f>
        <v>6.55</v>
      </c>
      <c r="N22" s="127" t="s">
        <v>180</v>
      </c>
      <c r="O22" s="127"/>
      <c r="P22" s="127"/>
      <c r="S22" s="127"/>
    </row>
    <row r="23" spans="1:19" ht="15" thickBot="1" x14ac:dyDescent="0.35">
      <c r="J23" s="129"/>
      <c r="L23" s="127" t="s">
        <v>179</v>
      </c>
      <c r="M23" s="131">
        <v>0</v>
      </c>
      <c r="N23" s="127" t="s">
        <v>178</v>
      </c>
      <c r="O23" s="127"/>
      <c r="P23" s="127"/>
      <c r="S23" s="127"/>
    </row>
    <row r="24" spans="1:19" ht="15" thickBot="1" x14ac:dyDescent="0.35">
      <c r="J24" s="129"/>
      <c r="L24" s="127" t="s">
        <v>177</v>
      </c>
      <c r="M24" s="130">
        <f>(M21*(M20/1000)-M23)/M22</f>
        <v>5931.0687022900765</v>
      </c>
      <c r="N24" s="127" t="s">
        <v>176</v>
      </c>
      <c r="O24" s="127"/>
      <c r="P24" s="127"/>
      <c r="S24" s="127"/>
    </row>
    <row r="25" spans="1:19" ht="14.4" x14ac:dyDescent="0.3">
      <c r="J25" s="129"/>
      <c r="L25" s="127"/>
      <c r="M25" s="127"/>
      <c r="O25" s="127"/>
      <c r="P25" s="127"/>
      <c r="S25" s="127"/>
    </row>
    <row r="26" spans="1:19" ht="14.4" x14ac:dyDescent="0.3">
      <c r="J26" s="129"/>
      <c r="L26" s="128"/>
      <c r="M26" s="127"/>
      <c r="O26" s="127"/>
      <c r="P26" s="127"/>
      <c r="Q26" s="127"/>
      <c r="R26" s="127"/>
      <c r="S26" s="127"/>
    </row>
    <row r="28" spans="1:19" ht="14.4" x14ac:dyDescent="0.3">
      <c r="N28" s="127"/>
    </row>
  </sheetData>
  <mergeCells count="1">
    <mergeCell ref="A17:B17"/>
  </mergeCells>
  <pageMargins left="0.7" right="0.7" top="0.75" bottom="0.75" header="0.3" footer="0.3"/>
  <headerFooter>
    <oddFooter>&amp;C_x000D_&amp;1#&amp;"Calibri"&amp;10&amp;K000000 CONFIDENTIAL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21E36-4BEE-4633-A572-ADEE1E25F3C4}">
  <dimension ref="A1:I44"/>
  <sheetViews>
    <sheetView tabSelected="1" zoomScale="140" zoomScaleNormal="140" workbookViewId="0">
      <selection activeCell="C27" sqref="C27"/>
    </sheetView>
  </sheetViews>
  <sheetFormatPr defaultColWidth="9.109375" defaultRowHeight="14.4" x14ac:dyDescent="0.3"/>
  <cols>
    <col min="1" max="1" width="40.44140625" style="153" customWidth="1"/>
    <col min="2" max="2" width="24" style="153" customWidth="1"/>
    <col min="3" max="5" width="9.109375" style="153"/>
    <col min="6" max="6" width="9.88671875" style="153" customWidth="1"/>
    <col min="7" max="16384" width="9.109375" style="153"/>
  </cols>
  <sheetData>
    <row r="1" spans="1:7" s="165" customFormat="1" ht="17.399999999999999" x14ac:dyDescent="0.3">
      <c r="A1" s="176" t="s">
        <v>226</v>
      </c>
    </row>
    <row r="2" spans="1:7" s="165" customFormat="1" ht="15.6" x14ac:dyDescent="0.3">
      <c r="A2" s="175" t="s">
        <v>225</v>
      </c>
    </row>
    <row r="3" spans="1:7" s="165" customFormat="1" x14ac:dyDescent="0.3"/>
    <row r="4" spans="1:7" s="165" customFormat="1" ht="15.6" x14ac:dyDescent="0.3">
      <c r="A4" s="174" t="s">
        <v>224</v>
      </c>
    </row>
    <row r="5" spans="1:7" s="165" customFormat="1" ht="16.2" thickBot="1" x14ac:dyDescent="0.35">
      <c r="A5" s="166"/>
    </row>
    <row r="6" spans="1:7" s="165" customFormat="1" ht="16.2" thickBot="1" x14ac:dyDescent="0.35">
      <c r="A6" s="170" t="s">
        <v>223</v>
      </c>
      <c r="B6" s="173">
        <v>0.04</v>
      </c>
    </row>
    <row r="7" spans="1:7" s="165" customFormat="1" ht="16.2" thickBot="1" x14ac:dyDescent="0.35">
      <c r="A7" s="168" t="s">
        <v>222</v>
      </c>
      <c r="B7" s="172">
        <v>0.17749999999999999</v>
      </c>
    </row>
    <row r="8" spans="1:7" s="165" customFormat="1" ht="16.2" thickBot="1" x14ac:dyDescent="0.35">
      <c r="A8" s="168" t="s">
        <v>221</v>
      </c>
      <c r="B8" s="171">
        <v>0.8</v>
      </c>
    </row>
    <row r="9" spans="1:7" s="165" customFormat="1" ht="16.2" thickBot="1" x14ac:dyDescent="0.35">
      <c r="A9" s="168" t="s">
        <v>220</v>
      </c>
      <c r="B9" s="171">
        <v>300</v>
      </c>
    </row>
    <row r="10" spans="1:7" s="165" customFormat="1" ht="16.2" thickBot="1" x14ac:dyDescent="0.35">
      <c r="A10" s="168" t="s">
        <v>219</v>
      </c>
      <c r="B10" s="171">
        <v>700</v>
      </c>
    </row>
    <row r="11" spans="1:7" s="165" customFormat="1" ht="16.2" thickBot="1" x14ac:dyDescent="0.35">
      <c r="A11" s="168" t="s">
        <v>218</v>
      </c>
      <c r="B11" s="172">
        <v>0.05</v>
      </c>
    </row>
    <row r="12" spans="1:7" s="165" customFormat="1" ht="16.2" thickBot="1" x14ac:dyDescent="0.35">
      <c r="A12" s="168" t="s">
        <v>217</v>
      </c>
      <c r="B12" s="172">
        <v>3.95E-2</v>
      </c>
    </row>
    <row r="13" spans="1:7" s="165" customFormat="1" ht="16.2" thickBot="1" x14ac:dyDescent="0.35">
      <c r="A13" s="168" t="s">
        <v>206</v>
      </c>
      <c r="B13" s="171">
        <v>100</v>
      </c>
    </row>
    <row r="14" spans="1:7" s="165" customFormat="1" ht="16.2" thickBot="1" x14ac:dyDescent="0.35">
      <c r="A14" s="168" t="s">
        <v>205</v>
      </c>
      <c r="B14" s="171">
        <v>120</v>
      </c>
    </row>
    <row r="15" spans="1:7" s="165" customFormat="1" ht="16.2" thickBot="1" x14ac:dyDescent="0.35">
      <c r="A15" s="166"/>
    </row>
    <row r="16" spans="1:7" s="165" customFormat="1" ht="16.2" thickBot="1" x14ac:dyDescent="0.35">
      <c r="A16" s="170" t="s">
        <v>20</v>
      </c>
      <c r="B16" s="169">
        <v>0</v>
      </c>
      <c r="C16" s="169">
        <v>1</v>
      </c>
      <c r="D16" s="169">
        <v>2</v>
      </c>
      <c r="E16" s="169">
        <v>3</v>
      </c>
      <c r="F16" s="169">
        <v>4</v>
      </c>
      <c r="G16" s="169">
        <v>5</v>
      </c>
    </row>
    <row r="17" spans="1:9" s="165" customFormat="1" ht="16.2" thickBot="1" x14ac:dyDescent="0.35">
      <c r="A17" s="168" t="s">
        <v>216</v>
      </c>
      <c r="B17" s="167">
        <v>100</v>
      </c>
      <c r="C17" s="167">
        <v>90</v>
      </c>
      <c r="D17" s="167">
        <v>80</v>
      </c>
      <c r="E17" s="167">
        <v>70</v>
      </c>
      <c r="F17" s="167">
        <v>60</v>
      </c>
      <c r="G17" s="167">
        <v>0</v>
      </c>
    </row>
    <row r="18" spans="1:9" s="165" customFormat="1" ht="15.6" x14ac:dyDescent="0.3">
      <c r="A18" s="166"/>
    </row>
    <row r="19" spans="1:9" s="165" customFormat="1" ht="15.6" x14ac:dyDescent="0.3">
      <c r="A19" s="166" t="s">
        <v>215</v>
      </c>
    </row>
    <row r="20" spans="1:9" s="165" customFormat="1" ht="15.6" x14ac:dyDescent="0.3">
      <c r="A20" s="166"/>
    </row>
    <row r="21" spans="1:9" ht="15.6" x14ac:dyDescent="0.3">
      <c r="A21" s="164" t="s">
        <v>214</v>
      </c>
    </row>
    <row r="22" spans="1:9" x14ac:dyDescent="0.3">
      <c r="A22" s="154"/>
      <c r="B22" s="162" t="s">
        <v>213</v>
      </c>
      <c r="C22" s="154"/>
      <c r="D22" s="154"/>
      <c r="F22" s="154"/>
      <c r="G22" s="154"/>
      <c r="H22" s="154"/>
      <c r="I22" s="154"/>
    </row>
    <row r="23" spans="1:9" x14ac:dyDescent="0.3">
      <c r="A23" s="154"/>
      <c r="B23" s="163">
        <f>B6+B8*(B7-B6)</f>
        <v>0.15</v>
      </c>
      <c r="C23" s="154"/>
      <c r="D23" s="154"/>
      <c r="F23" s="154"/>
      <c r="G23" s="154"/>
      <c r="H23" s="154"/>
      <c r="I23" s="154"/>
    </row>
    <row r="24" spans="1:9" x14ac:dyDescent="0.3">
      <c r="A24" s="154"/>
      <c r="B24" s="162" t="s">
        <v>212</v>
      </c>
      <c r="C24" s="154"/>
      <c r="D24" s="154"/>
      <c r="F24" s="154"/>
      <c r="G24" s="154"/>
      <c r="H24" s="154"/>
      <c r="I24" s="154"/>
    </row>
    <row r="25" spans="1:9" x14ac:dyDescent="0.3">
      <c r="A25" s="154"/>
      <c r="B25" s="161">
        <f>B11*B9/(B9+B10)+B23*B10/(B9+B10)</f>
        <v>0.12</v>
      </c>
      <c r="C25" s="154"/>
      <c r="D25" s="154"/>
      <c r="F25" s="154"/>
      <c r="G25" s="154"/>
      <c r="H25" s="154"/>
      <c r="I25" s="154"/>
    </row>
    <row r="26" spans="1:9" x14ac:dyDescent="0.3">
      <c r="A26" s="160"/>
      <c r="B26" s="154"/>
      <c r="C26" s="154"/>
      <c r="D26" t="s">
        <v>211</v>
      </c>
      <c r="F26" s="154"/>
      <c r="G26" s="154"/>
      <c r="H26" s="154"/>
      <c r="I26" s="154"/>
    </row>
    <row r="27" spans="1:9" x14ac:dyDescent="0.3">
      <c r="A27" s="37"/>
      <c r="B27" s="37"/>
      <c r="C27" s="37"/>
      <c r="D27" s="159" t="s">
        <v>210</v>
      </c>
      <c r="F27" s="37"/>
      <c r="G27" s="37"/>
      <c r="H27" s="37"/>
      <c r="I27" s="37"/>
    </row>
    <row r="28" spans="1:9" x14ac:dyDescent="0.3">
      <c r="A28" s="37"/>
      <c r="B28" s="37"/>
      <c r="C28" s="37"/>
      <c r="D28" s="37"/>
      <c r="E28" s="37"/>
      <c r="F28" s="37"/>
      <c r="G28" s="37"/>
      <c r="H28" s="37"/>
      <c r="I28" s="37"/>
    </row>
    <row r="29" spans="1:9" x14ac:dyDescent="0.3">
      <c r="A29" s="37"/>
      <c r="B29" s="37"/>
      <c r="C29" s="37"/>
      <c r="D29" s="37"/>
      <c r="E29" s="37"/>
      <c r="F29" s="37"/>
      <c r="G29" s="37"/>
      <c r="H29" s="37"/>
      <c r="I29" s="37"/>
    </row>
    <row r="30" spans="1:9" x14ac:dyDescent="0.3">
      <c r="A30" s="37"/>
      <c r="B30" s="154" t="s">
        <v>209</v>
      </c>
      <c r="C30" s="154"/>
      <c r="D30" s="154"/>
      <c r="E30" s="154"/>
      <c r="F30" s="154"/>
      <c r="G30" s="37"/>
      <c r="H30" s="37"/>
      <c r="I30" s="37"/>
    </row>
    <row r="31" spans="1:9" x14ac:dyDescent="0.3">
      <c r="A31" s="37"/>
      <c r="B31" s="37"/>
      <c r="C31" s="37"/>
      <c r="D31" s="37"/>
      <c r="E31" s="37"/>
      <c r="F31" s="37"/>
      <c r="G31" s="37"/>
      <c r="H31" s="37"/>
      <c r="I31" s="37"/>
    </row>
    <row r="32" spans="1:9" x14ac:dyDescent="0.3">
      <c r="A32" s="37"/>
      <c r="B32" s="157" t="s">
        <v>20</v>
      </c>
      <c r="C32" s="157">
        <v>0</v>
      </c>
      <c r="D32" s="157">
        <v>1</v>
      </c>
      <c r="E32" s="157">
        <v>2</v>
      </c>
      <c r="F32" s="157">
        <v>3</v>
      </c>
      <c r="G32" s="157">
        <v>4</v>
      </c>
      <c r="H32" s="157">
        <v>5</v>
      </c>
      <c r="I32" s="37"/>
    </row>
    <row r="33" spans="1:9" x14ac:dyDescent="0.3">
      <c r="A33" s="37"/>
      <c r="B33" s="157" t="s">
        <v>208</v>
      </c>
      <c r="C33" s="157">
        <v>100</v>
      </c>
      <c r="D33" s="157">
        <v>90</v>
      </c>
      <c r="E33" s="157">
        <f>D33-10</f>
        <v>80</v>
      </c>
      <c r="F33" s="157">
        <f>E33-10</f>
        <v>70</v>
      </c>
      <c r="G33" s="157">
        <f>F33-10</f>
        <v>60</v>
      </c>
      <c r="H33" s="157">
        <v>0</v>
      </c>
      <c r="I33" s="37"/>
    </row>
    <row r="34" spans="1:9" x14ac:dyDescent="0.3">
      <c r="A34" s="37"/>
      <c r="B34" s="158" t="s">
        <v>207</v>
      </c>
      <c r="C34" s="158"/>
      <c r="D34" s="158">
        <f>C33*($B$25-$B$12)</f>
        <v>8.0499999999999989</v>
      </c>
      <c r="E34" s="158">
        <f>D33*($B$25-$B$12)</f>
        <v>7.2449999999999992</v>
      </c>
      <c r="F34" s="158">
        <f>E33*($B$25-$B$12)</f>
        <v>6.4399999999999995</v>
      </c>
      <c r="G34" s="158">
        <f>F33*($B$25-$B$12)</f>
        <v>5.6349999999999989</v>
      </c>
      <c r="H34" s="158">
        <f>G33*($B$25-$B$12)</f>
        <v>4.8299999999999992</v>
      </c>
      <c r="I34" s="37"/>
    </row>
    <row r="35" spans="1:9" x14ac:dyDescent="0.3">
      <c r="A35" s="37"/>
      <c r="B35" s="37"/>
      <c r="C35" s="37"/>
      <c r="D35" s="37"/>
      <c r="E35" s="37"/>
      <c r="F35" s="37"/>
      <c r="G35" s="37"/>
      <c r="H35" s="37"/>
      <c r="I35" s="37"/>
    </row>
    <row r="36" spans="1:9" x14ac:dyDescent="0.3">
      <c r="A36" s="37"/>
      <c r="B36" s="37"/>
      <c r="C36" s="37"/>
      <c r="D36" s="37"/>
      <c r="E36" s="37"/>
      <c r="F36" s="37"/>
      <c r="G36" s="37"/>
      <c r="H36" s="37"/>
      <c r="I36" s="37"/>
    </row>
    <row r="37" spans="1:9" x14ac:dyDescent="0.3">
      <c r="A37" s="37"/>
      <c r="B37" s="157" t="s">
        <v>206</v>
      </c>
      <c r="C37" s="157">
        <v>100</v>
      </c>
      <c r="D37" s="37"/>
      <c r="E37" s="37"/>
      <c r="F37" s="37"/>
      <c r="G37" s="37"/>
      <c r="H37" s="37"/>
      <c r="I37" s="37"/>
    </row>
    <row r="38" spans="1:9" x14ac:dyDescent="0.3">
      <c r="A38" s="37"/>
      <c r="B38" s="157" t="s">
        <v>205</v>
      </c>
      <c r="C38" s="157">
        <v>120</v>
      </c>
      <c r="D38" s="37"/>
      <c r="E38" s="37"/>
      <c r="F38" s="37"/>
      <c r="G38" s="37"/>
      <c r="H38" s="37"/>
      <c r="I38" s="37"/>
    </row>
    <row r="39" spans="1:9" x14ac:dyDescent="0.3">
      <c r="A39" s="37"/>
      <c r="B39" s="37"/>
      <c r="C39" s="37"/>
      <c r="D39" s="37"/>
      <c r="E39" s="37"/>
      <c r="F39" s="37"/>
      <c r="G39" s="37"/>
      <c r="H39" s="37"/>
      <c r="I39" s="37"/>
    </row>
    <row r="40" spans="1:9" x14ac:dyDescent="0.3">
      <c r="A40" s="37"/>
      <c r="B40" s="154" t="s">
        <v>204</v>
      </c>
      <c r="C40" s="154"/>
      <c r="D40" s="37"/>
      <c r="E40" s="37"/>
      <c r="F40" s="37"/>
      <c r="G40" s="37"/>
      <c r="H40" s="37"/>
      <c r="I40" s="37"/>
    </row>
    <row r="41" spans="1:9" x14ac:dyDescent="0.3">
      <c r="A41" s="37"/>
      <c r="B41" s="154"/>
      <c r="C41" s="156">
        <f>NPV($B$25,D34:H34)</f>
        <v>23.868850523707561</v>
      </c>
      <c r="D41" s="37"/>
      <c r="E41" s="37"/>
      <c r="F41" s="37"/>
      <c r="G41" s="37"/>
      <c r="H41" s="37"/>
      <c r="I41" s="37"/>
    </row>
    <row r="42" spans="1:9" x14ac:dyDescent="0.3">
      <c r="A42" s="37"/>
      <c r="B42" s="37"/>
      <c r="C42" s="37"/>
      <c r="D42" s="37"/>
      <c r="E42" s="37"/>
      <c r="F42" s="37"/>
      <c r="G42" s="37"/>
      <c r="H42" s="37"/>
      <c r="I42" s="37"/>
    </row>
    <row r="43" spans="1:9" x14ac:dyDescent="0.3">
      <c r="A43" s="37"/>
      <c r="B43" s="154" t="s">
        <v>203</v>
      </c>
      <c r="C43" s="155"/>
      <c r="D43" s="154"/>
      <c r="E43" s="37"/>
      <c r="F43" s="37"/>
      <c r="G43" s="37"/>
      <c r="H43" s="37"/>
      <c r="I43" s="37"/>
    </row>
    <row r="44" spans="1:9" x14ac:dyDescent="0.3">
      <c r="A44" s="37"/>
      <c r="B44" s="154"/>
      <c r="C44" s="155">
        <f>C37+C38-C41</f>
        <v>196.13114947629245</v>
      </c>
      <c r="D44" s="154"/>
      <c r="E44" s="37"/>
      <c r="F44" s="37"/>
      <c r="G44" s="37"/>
      <c r="H44" s="37"/>
      <c r="I44" s="3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3D16CE4023BB4BB4110DFC2802C897" ma:contentTypeVersion="12" ma:contentTypeDescription="Create a new document." ma:contentTypeScope="" ma:versionID="8230b39ff0a402a078cc052756d4fefa">
  <xsd:schema xmlns:xsd="http://www.w3.org/2001/XMLSchema" xmlns:xs="http://www.w3.org/2001/XMLSchema" xmlns:p="http://schemas.microsoft.com/office/2006/metadata/properties" xmlns:ns2="16a415e0-cbd2-494f-bd0b-9ec9526163e9" targetNamespace="http://schemas.microsoft.com/office/2006/metadata/properties" ma:root="true" ma:fieldsID="45ea19f2c2e4cdbd674c4f1863b66b60" ns2:_="">
    <xsd:import namespace="16a415e0-cbd2-494f-bd0b-9ec9526163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BillingMetadata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a415e0-cbd2-494f-bd0b-9ec9526163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16" nillable="true" ma:displayName="MediaServiceBillingMetadata" ma:hidden="true" ma:internalName="MediaServiceBillingMetadata" ma:readOnly="true">
      <xsd:simpleType>
        <xsd:restriction base="dms:Note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5267e5f2-3cc9-4b2c-97a9-20aec386c2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6a415e0-cbd2-494f-bd0b-9ec9526163e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95255E3-2F7C-4EE9-A4C0-7077DDABE665}"/>
</file>

<file path=customXml/itemProps2.xml><?xml version="1.0" encoding="utf-8"?>
<ds:datastoreItem xmlns:ds="http://schemas.openxmlformats.org/officeDocument/2006/customXml" ds:itemID="{1350ECEE-8C9D-48CA-A4FE-7504A939C5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0C3BF6-FDB7-49BC-9CD8-D9ADBCA5F373}">
  <ds:schemaRefs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docMetadata/LabelInfo.xml><?xml version="1.0" encoding="utf-8"?>
<clbl:labelList xmlns:clbl="http://schemas.microsoft.com/office/2020/mipLabelMetadata">
  <clbl:label id="{7b72dd6e-c27c-4639-b124-2b12953460bf}" enabled="0" method="" siteId="{7b72dd6e-c27c-4639-b124-2b12953460b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Q1 b(i) Solutions</vt:lpstr>
      <vt:lpstr>Q1 b(ii) Solutions</vt:lpstr>
      <vt:lpstr>Q1 b(iii) + b(iv) Solutions</vt:lpstr>
      <vt:lpstr>LFM Q3(b) Solution</vt:lpstr>
      <vt:lpstr>Q5(a),(b)</vt:lpstr>
      <vt:lpstr>LFMU Q6(c)</vt:lpstr>
      <vt:lpstr>Q8(a)</vt:lpstr>
      <vt:lpstr>'LFMU Q6(c)'!OLE_LINK5</vt:lpstr>
      <vt:lpstr>'LFMU Q6(c)'!OLE_LINK6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Crafton, Brad</dc:creator>
  <cp:lastModifiedBy>Mark Dulceak</cp:lastModifiedBy>
  <cp:lastPrinted>2019-11-03T04:35:43Z</cp:lastPrinted>
  <dcterms:created xsi:type="dcterms:W3CDTF">2017-07-14T15:44:22Z</dcterms:created>
  <dcterms:modified xsi:type="dcterms:W3CDTF">2025-08-05T13:35:36Z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0x010100A13D16CE4023BB4BB4110DFC2802C897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MSIP_Label_0c8485d6-2480-4d64-9dd8-1d8a0baaade5_Enabled">
    <vt:lpwstr>true</vt:lpwstr>
  </property>
  <property fmtid="{D5CDD505-2E9C-101B-9397-08002B2CF9AE}" pid="6" name="MSIP_Label_0c8485d6-2480-4d64-9dd8-1d8a0baaade5_SetDate">
    <vt:lpwstr>2020-09-28T14:57:43Z</vt:lpwstr>
  </property>
  <property fmtid="{D5CDD505-2E9C-101B-9397-08002B2CF9AE}" pid="7" name="MSIP_Label_0c8485d6-2480-4d64-9dd8-1d8a0baaade5_Method">
    <vt:lpwstr>Privileged</vt:lpwstr>
  </property>
  <property fmtid="{D5CDD505-2E9C-101B-9397-08002B2CF9AE}" pid="8" name="MSIP_Label_0c8485d6-2480-4d64-9dd8-1d8a0baaade5_Name">
    <vt:lpwstr>0c8485d6-2480-4d64-9dd8-1d8a0baaade5</vt:lpwstr>
  </property>
  <property fmtid="{D5CDD505-2E9C-101B-9397-08002B2CF9AE}" pid="9" name="MSIP_Label_0c8485d6-2480-4d64-9dd8-1d8a0baaade5_SiteId">
    <vt:lpwstr>975c0940-6ee1-4da8-8016-f00c9fc8476f</vt:lpwstr>
  </property>
  <property fmtid="{D5CDD505-2E9C-101B-9397-08002B2CF9AE}" pid="10" name="MSIP_Label_0c8485d6-2480-4d64-9dd8-1d8a0baaade5_ActionId">
    <vt:lpwstr>11360089-a843-4666-a259-00d3a408cbc6</vt:lpwstr>
  </property>
  <property fmtid="{D5CDD505-2E9C-101B-9397-08002B2CF9AE}" pid="11" name="MSIP_Label_0c8485d6-2480-4d64-9dd8-1d8a0baaade5_ContentBits">
    <vt:lpwstr>0</vt:lpwstr>
  </property>
  <property fmtid="{D5CDD505-2E9C-101B-9397-08002B2CF9AE}" pid="12" name="MSIP_Label_3c9aa860-6a65-4942-a19a-0478291725e1_Enabled">
    <vt:lpwstr>true</vt:lpwstr>
  </property>
  <property fmtid="{D5CDD505-2E9C-101B-9397-08002B2CF9AE}" pid="13" name="MSIP_Label_3c9aa860-6a65-4942-a19a-0478291725e1_SetDate">
    <vt:lpwstr>2025-08-01T22:15:12Z</vt:lpwstr>
  </property>
  <property fmtid="{D5CDD505-2E9C-101B-9397-08002B2CF9AE}" pid="14" name="MSIP_Label_3c9aa860-6a65-4942-a19a-0478291725e1_Method">
    <vt:lpwstr>Privileged</vt:lpwstr>
  </property>
  <property fmtid="{D5CDD505-2E9C-101B-9397-08002B2CF9AE}" pid="15" name="MSIP_Label_3c9aa860-6a65-4942-a19a-0478291725e1_Name">
    <vt:lpwstr>CONFIDENTIAL</vt:lpwstr>
  </property>
  <property fmtid="{D5CDD505-2E9C-101B-9397-08002B2CF9AE}" pid="16" name="MSIP_Label_3c9aa860-6a65-4942-a19a-0478291725e1_SiteId">
    <vt:lpwstr>5d3e2773-e07f-4432-a630-1a0f68a28a05</vt:lpwstr>
  </property>
  <property fmtid="{D5CDD505-2E9C-101B-9397-08002B2CF9AE}" pid="17" name="MSIP_Label_3c9aa860-6a65-4942-a19a-0478291725e1_ActionId">
    <vt:lpwstr>5f0b5a34-3088-49bd-9055-33e47aa394ec</vt:lpwstr>
  </property>
  <property fmtid="{D5CDD505-2E9C-101B-9397-08002B2CF9AE}" pid="18" name="MSIP_Label_3c9aa860-6a65-4942-a19a-0478291725e1_ContentBits">
    <vt:lpwstr>2</vt:lpwstr>
  </property>
  <property fmtid="{D5CDD505-2E9C-101B-9397-08002B2CF9AE}" pid="19" name="MSIP_Label_3c9aa860-6a65-4942-a19a-0478291725e1_Tag">
    <vt:lpwstr>10, 0, 1, 1</vt:lpwstr>
  </property>
</Properties>
</file>