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8.xml" ContentType="application/vnd.openxmlformats-officedocument.spreadsheetml.worksheet+xml"/>
  <Override PartName="/xl/drawings/drawing3.xml" ContentType="application/vnd.openxmlformats-officedocument.drawing+xml"/>
  <Override PartName="/xl/externalLinks/externalLink1.xml" ContentType="application/vnd.openxmlformats-officedocument.spreadsheetml.externalLink+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21" documentId="8_{03DFDC1A-ED76-4B81-9451-853E62DDED9C}" xr6:coauthVersionLast="47" xr6:coauthVersionMax="47" xr10:uidLastSave="{C36C88D6-8A2A-44AD-83FF-DCEA899656D6}"/>
  <bookViews>
    <workbookView xWindow="67080" yWindow="-120" windowWidth="38640" windowHeight="21120" tabRatio="786" xr2:uid="{6E26187F-1A84-40DB-A276-65FFCB771AE2}"/>
  </bookViews>
  <sheets>
    <sheet name="Cover " sheetId="140" r:id="rId1"/>
    <sheet name="Table of Contents" sheetId="139" r:id="rId2"/>
    <sheet name="Q1.1" sheetId="28" r:id="rId3"/>
    <sheet name="A1.1" sheetId="30" r:id="rId4"/>
    <sheet name="Q2.1" sheetId="33" r:id="rId5"/>
    <sheet name="A2.1" sheetId="34" r:id="rId6"/>
    <sheet name="Q3.1" sheetId="138" r:id="rId7"/>
    <sheet name="A3.1" sheetId="100" r:id="rId8"/>
    <sheet name="Q4.1" sheetId="71" r:id="rId9"/>
    <sheet name="A4.1" sheetId="68" r:id="rId10"/>
    <sheet name="Q5.1" sheetId="119" r:id="rId11"/>
    <sheet name="A5.1" sheetId="87" r:id="rId12"/>
    <sheet name="Q6.1" sheetId="122" r:id="rId13"/>
    <sheet name="A6.1" sheetId="107" r:id="rId14"/>
    <sheet name="Q7.1" sheetId="126" r:id="rId15"/>
    <sheet name="A7.1" sheetId="94" r:id="rId16"/>
  </sheets>
  <externalReferences>
    <externalReference r:id="rId17"/>
  </externalReferences>
  <definedNames>
    <definedName name="Non_Fac">'[1]User Input'!$C$74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94" l="1"/>
  <c r="F54" i="94"/>
  <c r="F53" i="94"/>
  <c r="F52" i="94"/>
  <c r="F51" i="94"/>
  <c r="F50" i="94"/>
  <c r="F49" i="94"/>
  <c r="F48" i="94"/>
  <c r="F47" i="94"/>
  <c r="F46" i="94"/>
  <c r="F45" i="94"/>
  <c r="F44" i="94"/>
  <c r="F43" i="94"/>
  <c r="F42" i="94"/>
  <c r="F41" i="94"/>
  <c r="F40" i="94"/>
  <c r="F39" i="94"/>
  <c r="F38" i="94"/>
  <c r="F37" i="94"/>
  <c r="F36" i="94"/>
  <c r="F35" i="94"/>
  <c r="F34" i="94"/>
  <c r="F33" i="94"/>
  <c r="F32" i="94"/>
  <c r="C23" i="94"/>
  <c r="G19" i="94"/>
  <c r="A19" i="94"/>
  <c r="H18" i="94"/>
  <c r="G18" i="94"/>
  <c r="H17" i="94"/>
  <c r="G17" i="94"/>
  <c r="H16" i="94"/>
  <c r="G16" i="94"/>
  <c r="H15" i="94"/>
  <c r="G15" i="94"/>
  <c r="C55" i="94" s="1"/>
  <c r="D55" i="94" s="1"/>
  <c r="G55" i="94" s="1"/>
  <c r="H14" i="94"/>
  <c r="G14" i="94"/>
  <c r="H13" i="94"/>
  <c r="G13" i="94"/>
  <c r="C23" i="126"/>
  <c r="A19" i="126"/>
  <c r="C32" i="94" l="1"/>
  <c r="D32" i="94" s="1"/>
  <c r="G32" i="94" s="1"/>
  <c r="C33" i="94"/>
  <c r="D33" i="94" s="1"/>
  <c r="G33" i="94" s="1"/>
  <c r="C34" i="94"/>
  <c r="D34" i="94" s="1"/>
  <c r="G34" i="94" s="1"/>
  <c r="C35" i="94"/>
  <c r="D35" i="94" s="1"/>
  <c r="G35" i="94" s="1"/>
  <c r="C36" i="94"/>
  <c r="D36" i="94" s="1"/>
  <c r="G36" i="94" s="1"/>
  <c r="C37" i="94"/>
  <c r="D37" i="94" s="1"/>
  <c r="G37" i="94" s="1"/>
  <c r="C38" i="94"/>
  <c r="D38" i="94" s="1"/>
  <c r="G38" i="94" s="1"/>
  <c r="C39" i="94"/>
  <c r="D39" i="94" s="1"/>
  <c r="G39" i="94" s="1"/>
  <c r="C40" i="94"/>
  <c r="D40" i="94" s="1"/>
  <c r="G40" i="94" s="1"/>
  <c r="C41" i="94"/>
  <c r="D41" i="94" s="1"/>
  <c r="G41" i="94" s="1"/>
  <c r="C42" i="94"/>
  <c r="D42" i="94" s="1"/>
  <c r="G42" i="94" s="1"/>
  <c r="C43" i="94"/>
  <c r="D43" i="94" s="1"/>
  <c r="G43" i="94" s="1"/>
  <c r="C44" i="94"/>
  <c r="D44" i="94" s="1"/>
  <c r="G44" i="94" s="1"/>
  <c r="C45" i="94"/>
  <c r="D45" i="94" s="1"/>
  <c r="G45" i="94" s="1"/>
  <c r="C46" i="94"/>
  <c r="D46" i="94" s="1"/>
  <c r="G46" i="94" s="1"/>
  <c r="C47" i="94"/>
  <c r="D47" i="94" s="1"/>
  <c r="G47" i="94" s="1"/>
  <c r="C48" i="94"/>
  <c r="D48" i="94" s="1"/>
  <c r="G48" i="94" s="1"/>
  <c r="C49" i="94"/>
  <c r="D49" i="94" s="1"/>
  <c r="G49" i="94" s="1"/>
  <c r="C50" i="94"/>
  <c r="D50" i="94" s="1"/>
  <c r="G50" i="94" s="1"/>
  <c r="C51" i="94"/>
  <c r="D51" i="94" s="1"/>
  <c r="G51" i="94" s="1"/>
  <c r="C52" i="94"/>
  <c r="D52" i="94" s="1"/>
  <c r="G52" i="94" s="1"/>
  <c r="C53" i="94"/>
  <c r="D53" i="94" s="1"/>
  <c r="G53" i="94" s="1"/>
  <c r="C54" i="94"/>
  <c r="D54" i="94" s="1"/>
  <c r="G54" i="94" s="1"/>
  <c r="G59" i="94" l="1"/>
  <c r="G57" i="94"/>
  <c r="G56" i="94"/>
  <c r="R44" i="107" l="1"/>
  <c r="R45" i="107" s="1"/>
  <c r="R46" i="107" s="1"/>
  <c r="R47" i="107" s="1"/>
  <c r="R48" i="107" s="1"/>
  <c r="R49" i="107" s="1"/>
  <c r="K44" i="107"/>
  <c r="K45" i="107" s="1"/>
  <c r="K46" i="107" s="1"/>
  <c r="K47" i="107" s="1"/>
  <c r="K48" i="107" s="1"/>
  <c r="K49" i="107" s="1"/>
  <c r="J44" i="107"/>
  <c r="J45" i="107" s="1"/>
  <c r="J46" i="107" s="1"/>
  <c r="J47" i="107" s="1"/>
  <c r="J48" i="107" s="1"/>
  <c r="D44" i="107"/>
  <c r="D45" i="107" s="1"/>
  <c r="D46" i="107" s="1"/>
  <c r="D47" i="107" s="1"/>
  <c r="D48" i="107" s="1"/>
  <c r="D49" i="107" s="1"/>
  <c r="C44" i="107"/>
  <c r="C45" i="107" s="1"/>
  <c r="C46" i="107" s="1"/>
  <c r="C47" i="107" s="1"/>
  <c r="C48" i="107" s="1"/>
  <c r="D35" i="107"/>
  <c r="C35" i="107"/>
  <c r="Q44" i="107" s="1"/>
  <c r="Q45" i="107" s="1"/>
  <c r="Q46" i="107" s="1"/>
  <c r="Q47" i="107" s="1"/>
  <c r="Q48" i="107" s="1"/>
  <c r="D34" i="107"/>
  <c r="C34" i="107"/>
  <c r="C36" i="107" s="1"/>
  <c r="D32" i="107"/>
  <c r="C32" i="107"/>
  <c r="D31" i="107"/>
  <c r="C31" i="107"/>
  <c r="K44" i="122"/>
  <c r="K45" i="122" s="1"/>
  <c r="K46" i="122" s="1"/>
  <c r="K47" i="122" s="1"/>
  <c r="K48" i="122" s="1"/>
  <c r="K49" i="122" s="1"/>
  <c r="J44" i="122"/>
  <c r="J45" i="122" s="1"/>
  <c r="J46" i="122" s="1"/>
  <c r="J47" i="122" s="1"/>
  <c r="J48" i="122" s="1"/>
  <c r="D44" i="122"/>
  <c r="D45" i="122" s="1"/>
  <c r="D46" i="122" s="1"/>
  <c r="D47" i="122" s="1"/>
  <c r="D48" i="122" s="1"/>
  <c r="D49" i="122" s="1"/>
  <c r="C44" i="122"/>
  <c r="C45" i="122" s="1"/>
  <c r="C46" i="122" s="1"/>
  <c r="C47" i="122" s="1"/>
  <c r="C48" i="122" s="1"/>
  <c r="D35" i="122"/>
  <c r="C35" i="122"/>
  <c r="D34" i="122"/>
  <c r="C34" i="122"/>
  <c r="D32" i="122"/>
  <c r="C32" i="122"/>
  <c r="D31" i="122"/>
  <c r="C31" i="122"/>
  <c r="G55" i="119"/>
  <c r="F55" i="119"/>
  <c r="E55" i="119"/>
  <c r="D55" i="119"/>
  <c r="C55" i="119"/>
  <c r="B55" i="119"/>
  <c r="G54" i="119"/>
  <c r="F54" i="119"/>
  <c r="E54" i="119"/>
  <c r="D54" i="119"/>
  <c r="C54" i="119"/>
  <c r="G53" i="119"/>
  <c r="F53" i="119"/>
  <c r="E53" i="119"/>
  <c r="D53" i="119"/>
  <c r="C53" i="119"/>
  <c r="B53" i="119"/>
  <c r="G52" i="119"/>
  <c r="F52" i="119"/>
  <c r="E52" i="119"/>
  <c r="D52" i="119"/>
  <c r="C52" i="119"/>
  <c r="G44" i="119"/>
  <c r="F44" i="119"/>
  <c r="E44" i="119"/>
  <c r="D44" i="119"/>
  <c r="C44" i="119"/>
  <c r="G34" i="119"/>
  <c r="G57" i="119" s="1"/>
  <c r="F34" i="119"/>
  <c r="F37" i="119" s="1"/>
  <c r="E34" i="119"/>
  <c r="E37" i="119" s="1"/>
  <c r="D34" i="119"/>
  <c r="D57" i="119" s="1"/>
  <c r="C34" i="119"/>
  <c r="C57" i="119" s="1"/>
  <c r="B34" i="119"/>
  <c r="B57" i="119" s="1"/>
  <c r="G28" i="119"/>
  <c r="F28" i="119"/>
  <c r="E28" i="119"/>
  <c r="D28" i="119"/>
  <c r="C28" i="119"/>
  <c r="B28" i="119"/>
  <c r="G24" i="119"/>
  <c r="G60" i="119" s="1"/>
  <c r="F24" i="119"/>
  <c r="F60" i="119" s="1"/>
  <c r="E24" i="119"/>
  <c r="E60" i="119" s="1"/>
  <c r="D24" i="119"/>
  <c r="D60" i="119" s="1"/>
  <c r="C24" i="119"/>
  <c r="C60" i="119" s="1"/>
  <c r="B24" i="119"/>
  <c r="B60" i="119" s="1"/>
  <c r="G55" i="87"/>
  <c r="F55" i="87"/>
  <c r="E55" i="87"/>
  <c r="D55" i="87"/>
  <c r="C55" i="87"/>
  <c r="B55" i="87"/>
  <c r="G54" i="87"/>
  <c r="F54" i="87"/>
  <c r="E54" i="87"/>
  <c r="D54" i="87"/>
  <c r="C54" i="87"/>
  <c r="G53" i="87"/>
  <c r="F53" i="87"/>
  <c r="E53" i="87"/>
  <c r="D53" i="87"/>
  <c r="C53" i="87"/>
  <c r="B53" i="87"/>
  <c r="G52" i="87"/>
  <c r="F52" i="87"/>
  <c r="E52" i="87"/>
  <c r="D52" i="87"/>
  <c r="C52" i="87"/>
  <c r="G44" i="87"/>
  <c r="F44" i="87"/>
  <c r="E44" i="87"/>
  <c r="D44" i="87"/>
  <c r="C44" i="87"/>
  <c r="G34" i="87"/>
  <c r="G37" i="87" s="1"/>
  <c r="F34" i="87"/>
  <c r="F57" i="87" s="1"/>
  <c r="E34" i="87"/>
  <c r="E37" i="87" s="1"/>
  <c r="D34" i="87"/>
  <c r="D57" i="87" s="1"/>
  <c r="C34" i="87"/>
  <c r="C37" i="87" s="1"/>
  <c r="B34" i="87"/>
  <c r="B57" i="87" s="1"/>
  <c r="G28" i="87"/>
  <c r="F28" i="87"/>
  <c r="E28" i="87"/>
  <c r="D28" i="87"/>
  <c r="C28" i="87"/>
  <c r="B28" i="87"/>
  <c r="G24" i="87"/>
  <c r="G60" i="87" s="1"/>
  <c r="F24" i="87"/>
  <c r="F60" i="87" s="1"/>
  <c r="E24" i="87"/>
  <c r="E60" i="87" s="1"/>
  <c r="D24" i="87"/>
  <c r="D60" i="87" s="1"/>
  <c r="C24" i="87"/>
  <c r="C60" i="87" s="1"/>
  <c r="B24" i="87"/>
  <c r="B60" i="87" s="1"/>
  <c r="B16" i="87"/>
  <c r="E47" i="87" s="1"/>
  <c r="B37" i="87" l="1"/>
  <c r="B38" i="87" s="1"/>
  <c r="B58" i="87" s="1"/>
  <c r="F57" i="119"/>
  <c r="D33" i="107"/>
  <c r="Q49" i="107" s="1"/>
  <c r="D36" i="107"/>
  <c r="I44" i="107" s="1"/>
  <c r="I45" i="107" s="1"/>
  <c r="C33" i="107"/>
  <c r="C49" i="107" s="1"/>
  <c r="B44" i="107"/>
  <c r="P44" i="107"/>
  <c r="C33" i="122"/>
  <c r="C49" i="122" s="1"/>
  <c r="D33" i="122"/>
  <c r="C36" i="122"/>
  <c r="D36" i="122"/>
  <c r="I44" i="122" s="1"/>
  <c r="I45" i="122" s="1"/>
  <c r="J49" i="122"/>
  <c r="D47" i="87"/>
  <c r="B47" i="87"/>
  <c r="B37" i="119"/>
  <c r="C37" i="119"/>
  <c r="C58" i="119" s="1"/>
  <c r="G37" i="119"/>
  <c r="G58" i="119" s="1"/>
  <c r="E57" i="119"/>
  <c r="E58" i="119"/>
  <c r="F39" i="119"/>
  <c r="C39" i="119"/>
  <c r="D37" i="119"/>
  <c r="B58" i="119"/>
  <c r="F58" i="119"/>
  <c r="F37" i="87"/>
  <c r="F38" i="87" s="1"/>
  <c r="F58" i="87" s="1"/>
  <c r="F47" i="87"/>
  <c r="C57" i="87"/>
  <c r="G57" i="87"/>
  <c r="H47" i="87"/>
  <c r="E57" i="87"/>
  <c r="G38" i="87"/>
  <c r="G58" i="87" s="1"/>
  <c r="E38" i="87"/>
  <c r="E58" i="87" s="1"/>
  <c r="C38" i="87"/>
  <c r="C58" i="87" s="1"/>
  <c r="C39" i="87"/>
  <c r="B39" i="87"/>
  <c r="B43" i="87" s="1"/>
  <c r="B46" i="87" s="1"/>
  <c r="F39" i="87"/>
  <c r="C47" i="87"/>
  <c r="G47" i="87"/>
  <c r="D37" i="87"/>
  <c r="G39" i="119" l="1"/>
  <c r="L44" i="107"/>
  <c r="M44" i="107" s="1"/>
  <c r="J49" i="107"/>
  <c r="B44" i="122"/>
  <c r="E44" i="122" s="1"/>
  <c r="F44" i="122" s="1"/>
  <c r="I46" i="107"/>
  <c r="L45" i="107"/>
  <c r="M45" i="107" s="1"/>
  <c r="P45" i="107"/>
  <c r="S44" i="107"/>
  <c r="T44" i="107" s="1"/>
  <c r="B45" i="107"/>
  <c r="E44" i="107"/>
  <c r="F44" i="107" s="1"/>
  <c r="L44" i="122"/>
  <c r="M44" i="122" s="1"/>
  <c r="B45" i="122"/>
  <c r="I46" i="122"/>
  <c r="L45" i="122"/>
  <c r="M45" i="122" s="1"/>
  <c r="G39" i="87"/>
  <c r="B48" i="87"/>
  <c r="G61" i="119"/>
  <c r="G43" i="119"/>
  <c r="F61" i="119"/>
  <c r="F43" i="119"/>
  <c r="D58" i="119"/>
  <c r="E39" i="119"/>
  <c r="C61" i="119"/>
  <c r="C43" i="119"/>
  <c r="B39" i="119"/>
  <c r="B43" i="119" s="1"/>
  <c r="F43" i="87"/>
  <c r="F46" i="87" s="1"/>
  <c r="F48" i="87" s="1"/>
  <c r="F61" i="87"/>
  <c r="D38" i="87"/>
  <c r="D58" i="87" s="1"/>
  <c r="E39" i="87"/>
  <c r="C61" i="87"/>
  <c r="C43" i="87"/>
  <c r="C46" i="87" s="1"/>
  <c r="C48" i="87" s="1"/>
  <c r="G61" i="87"/>
  <c r="G43" i="87"/>
  <c r="P46" i="107" l="1"/>
  <c r="S45" i="107"/>
  <c r="T45" i="107" s="1"/>
  <c r="B46" i="107"/>
  <c r="E45" i="107"/>
  <c r="F45" i="107" s="1"/>
  <c r="I47" i="107"/>
  <c r="L46" i="107"/>
  <c r="M46" i="107" s="1"/>
  <c r="L46" i="122"/>
  <c r="M46" i="122" s="1"/>
  <c r="I47" i="122"/>
  <c r="E45" i="122"/>
  <c r="F45" i="122" s="1"/>
  <c r="B46" i="122"/>
  <c r="E43" i="119"/>
  <c r="E61" i="119"/>
  <c r="D39" i="119"/>
  <c r="D39" i="87"/>
  <c r="D61" i="87" s="1"/>
  <c r="H46" i="87"/>
  <c r="H48" i="87" s="1"/>
  <c r="G46" i="87"/>
  <c r="G48" i="87" s="1"/>
  <c r="E61" i="87"/>
  <c r="E43" i="87"/>
  <c r="E46" i="87" s="1"/>
  <c r="E48" i="87" s="1"/>
  <c r="I48" i="107" l="1"/>
  <c r="L47" i="107"/>
  <c r="M47" i="107" s="1"/>
  <c r="P47" i="107"/>
  <c r="S46" i="107"/>
  <c r="T46" i="107" s="1"/>
  <c r="B47" i="107"/>
  <c r="E46" i="107"/>
  <c r="F46" i="107" s="1"/>
  <c r="B47" i="122"/>
  <c r="E46" i="122"/>
  <c r="F46" i="122" s="1"/>
  <c r="I48" i="122"/>
  <c r="L47" i="122"/>
  <c r="M47" i="122" s="1"/>
  <c r="D43" i="87"/>
  <c r="D46" i="87" s="1"/>
  <c r="D48" i="87" s="1"/>
  <c r="B49" i="87" s="1"/>
  <c r="D61" i="119"/>
  <c r="D43" i="119"/>
  <c r="B48" i="107" l="1"/>
  <c r="E47" i="107"/>
  <c r="F47" i="107" s="1"/>
  <c r="L48" i="107"/>
  <c r="M48" i="107" s="1"/>
  <c r="I52" i="107" s="1"/>
  <c r="I49" i="107"/>
  <c r="L49" i="107" s="1"/>
  <c r="I50" i="107" s="1"/>
  <c r="I53" i="107" s="1"/>
  <c r="P48" i="107"/>
  <c r="S47" i="107"/>
  <c r="T47" i="107" s="1"/>
  <c r="L48" i="122"/>
  <c r="M48" i="122" s="1"/>
  <c r="I52" i="122" s="1"/>
  <c r="I49" i="122"/>
  <c r="L49" i="122" s="1"/>
  <c r="I50" i="122" s="1"/>
  <c r="I53" i="122" s="1"/>
  <c r="B48" i="122"/>
  <c r="E47" i="122"/>
  <c r="F47" i="122" s="1"/>
  <c r="P49" i="107" l="1"/>
  <c r="S49" i="107" s="1"/>
  <c r="P50" i="107" s="1"/>
  <c r="P53" i="107" s="1"/>
  <c r="S48" i="107"/>
  <c r="T48" i="107" s="1"/>
  <c r="P52" i="107" s="1"/>
  <c r="B49" i="107"/>
  <c r="E49" i="107" s="1"/>
  <c r="B50" i="107" s="1"/>
  <c r="B53" i="107" s="1"/>
  <c r="E48" i="107"/>
  <c r="F48" i="107" s="1"/>
  <c r="B52" i="107" s="1"/>
  <c r="B54" i="107" s="1"/>
  <c r="I54" i="107"/>
  <c r="C61" i="107" s="1"/>
  <c r="I54" i="122"/>
  <c r="B49" i="122"/>
  <c r="E49" i="122" s="1"/>
  <c r="B50" i="122" s="1"/>
  <c r="B53" i="122" s="1"/>
  <c r="E48" i="122"/>
  <c r="F48" i="122" s="1"/>
  <c r="B52" i="122" s="1"/>
  <c r="U53" i="107" l="1"/>
  <c r="P54" i="107"/>
  <c r="U52" i="107" s="1"/>
  <c r="U54" i="107" s="1"/>
  <c r="C62" i="107" s="1"/>
  <c r="C65" i="107" s="1"/>
  <c r="B54" i="122"/>
  <c r="R33" i="68" l="1"/>
  <c r="R34" i="68" s="1"/>
  <c r="R35" i="68" s="1"/>
  <c r="R36" i="68" s="1"/>
  <c r="R37" i="68" s="1"/>
  <c r="R38" i="68" s="1"/>
  <c r="Q33" i="68"/>
  <c r="Q34" i="68" s="1"/>
  <c r="Q35" i="68" s="1"/>
  <c r="Q36" i="68" s="1"/>
  <c r="Q37" i="68" s="1"/>
  <c r="K33" i="68"/>
  <c r="K34" i="68" s="1"/>
  <c r="K35" i="68" s="1"/>
  <c r="K36" i="68" s="1"/>
  <c r="K37" i="68" s="1"/>
  <c r="K38" i="68" s="1"/>
  <c r="J33" i="68"/>
  <c r="J34" i="68" s="1"/>
  <c r="J35" i="68" s="1"/>
  <c r="J36" i="68" s="1"/>
  <c r="J37" i="68" s="1"/>
  <c r="D33" i="68"/>
  <c r="D34" i="68" s="1"/>
  <c r="D35" i="68" s="1"/>
  <c r="D36" i="68" s="1"/>
  <c r="D37" i="68" s="1"/>
  <c r="D38" i="68" s="1"/>
  <c r="C33" i="68"/>
  <c r="C34" i="68" s="1"/>
  <c r="C35" i="68" s="1"/>
  <c r="C36" i="68" s="1"/>
  <c r="C37" i="68" s="1"/>
  <c r="D24" i="68"/>
  <c r="C24" i="68"/>
  <c r="D23" i="68"/>
  <c r="C23" i="68"/>
  <c r="C25" i="68" s="1"/>
  <c r="B33" i="68" s="1"/>
  <c r="D21" i="68"/>
  <c r="D22" i="68" s="1"/>
  <c r="C21" i="68"/>
  <c r="D20" i="68"/>
  <c r="C20" i="68"/>
  <c r="K33" i="71"/>
  <c r="K34" i="71" s="1"/>
  <c r="K35" i="71" s="1"/>
  <c r="K36" i="71" s="1"/>
  <c r="K37" i="71" s="1"/>
  <c r="K38" i="71" s="1"/>
  <c r="J33" i="71"/>
  <c r="J34" i="71" s="1"/>
  <c r="J35" i="71" s="1"/>
  <c r="J36" i="71" s="1"/>
  <c r="J37" i="71" s="1"/>
  <c r="D33" i="71"/>
  <c r="D34" i="71" s="1"/>
  <c r="D35" i="71" s="1"/>
  <c r="D36" i="71" s="1"/>
  <c r="D37" i="71" s="1"/>
  <c r="D38" i="71" s="1"/>
  <c r="C33" i="71"/>
  <c r="C34" i="71" s="1"/>
  <c r="C35" i="71" s="1"/>
  <c r="C36" i="71" s="1"/>
  <c r="C37" i="71" s="1"/>
  <c r="D24" i="71"/>
  <c r="C24" i="71"/>
  <c r="D23" i="71"/>
  <c r="C23" i="71"/>
  <c r="D21" i="71"/>
  <c r="C21" i="71"/>
  <c r="D20" i="71"/>
  <c r="C20" i="71"/>
  <c r="R33" i="100"/>
  <c r="R34" i="100" s="1"/>
  <c r="R35" i="100" s="1"/>
  <c r="R36" i="100" s="1"/>
  <c r="R37" i="100" s="1"/>
  <c r="R38" i="100" s="1"/>
  <c r="K33" i="100"/>
  <c r="K34" i="100" s="1"/>
  <c r="K35" i="100" s="1"/>
  <c r="K36" i="100" s="1"/>
  <c r="K37" i="100" s="1"/>
  <c r="K38" i="100" s="1"/>
  <c r="J33" i="100"/>
  <c r="J34" i="100" s="1"/>
  <c r="J35" i="100" s="1"/>
  <c r="J36" i="100" s="1"/>
  <c r="J37" i="100" s="1"/>
  <c r="D33" i="100"/>
  <c r="D34" i="100" s="1"/>
  <c r="D35" i="100" s="1"/>
  <c r="D36" i="100" s="1"/>
  <c r="D37" i="100" s="1"/>
  <c r="D38" i="100" s="1"/>
  <c r="C33" i="100"/>
  <c r="C34" i="100" s="1"/>
  <c r="C35" i="100" s="1"/>
  <c r="C36" i="100" s="1"/>
  <c r="C37" i="100" s="1"/>
  <c r="D24" i="100"/>
  <c r="C24" i="100"/>
  <c r="Q33" i="100" s="1"/>
  <c r="Q34" i="100" s="1"/>
  <c r="Q35" i="100" s="1"/>
  <c r="Q36" i="100" s="1"/>
  <c r="Q37" i="100" s="1"/>
  <c r="D23" i="100"/>
  <c r="C23" i="100"/>
  <c r="D21" i="100"/>
  <c r="D22" i="100" s="1"/>
  <c r="C21" i="100"/>
  <c r="D20" i="100"/>
  <c r="C20" i="100"/>
  <c r="K33" i="138"/>
  <c r="K34" i="138" s="1"/>
  <c r="K35" i="138" s="1"/>
  <c r="K36" i="138" s="1"/>
  <c r="K37" i="138" s="1"/>
  <c r="K38" i="138" s="1"/>
  <c r="J33" i="138"/>
  <c r="J34" i="138" s="1"/>
  <c r="J35" i="138" s="1"/>
  <c r="J36" i="138" s="1"/>
  <c r="J37" i="138" s="1"/>
  <c r="D33" i="138"/>
  <c r="D34" i="138" s="1"/>
  <c r="D35" i="138" s="1"/>
  <c r="D36" i="138" s="1"/>
  <c r="D37" i="138" s="1"/>
  <c r="D38" i="138" s="1"/>
  <c r="C33" i="138"/>
  <c r="C34" i="138" s="1"/>
  <c r="C35" i="138" s="1"/>
  <c r="C36" i="138" s="1"/>
  <c r="C37" i="138" s="1"/>
  <c r="D24" i="138"/>
  <c r="C24" i="138"/>
  <c r="D23" i="138"/>
  <c r="D25" i="138" s="1"/>
  <c r="I33" i="138" s="1"/>
  <c r="C23" i="138"/>
  <c r="C25" i="138" s="1"/>
  <c r="D21" i="138"/>
  <c r="C21" i="138"/>
  <c r="D20" i="138"/>
  <c r="D22" i="138" s="1"/>
  <c r="C20" i="138"/>
  <c r="R33" i="34"/>
  <c r="R34" i="34" s="1"/>
  <c r="R35" i="34" s="1"/>
  <c r="R36" i="34" s="1"/>
  <c r="R37" i="34" s="1"/>
  <c r="R38" i="34" s="1"/>
  <c r="K33" i="34"/>
  <c r="K34" i="34" s="1"/>
  <c r="K35" i="34" s="1"/>
  <c r="K36" i="34" s="1"/>
  <c r="K37" i="34" s="1"/>
  <c r="K38" i="34" s="1"/>
  <c r="J33" i="34"/>
  <c r="J34" i="34" s="1"/>
  <c r="J35" i="34" s="1"/>
  <c r="J36" i="34" s="1"/>
  <c r="J37" i="34" s="1"/>
  <c r="D33" i="34"/>
  <c r="D34" i="34" s="1"/>
  <c r="D35" i="34" s="1"/>
  <c r="D36" i="34" s="1"/>
  <c r="D37" i="34" s="1"/>
  <c r="D38" i="34" s="1"/>
  <c r="C33" i="34"/>
  <c r="C34" i="34" s="1"/>
  <c r="C35" i="34" s="1"/>
  <c r="C36" i="34" s="1"/>
  <c r="C37" i="34" s="1"/>
  <c r="D24" i="34"/>
  <c r="C24" i="34"/>
  <c r="Q33" i="34" s="1"/>
  <c r="Q34" i="34" s="1"/>
  <c r="Q35" i="34" s="1"/>
  <c r="Q36" i="34" s="1"/>
  <c r="Q37" i="34" s="1"/>
  <c r="D23" i="34"/>
  <c r="C23" i="34"/>
  <c r="D21" i="34"/>
  <c r="C21" i="34"/>
  <c r="D20" i="34"/>
  <c r="C20" i="34"/>
  <c r="C20" i="33"/>
  <c r="D20" i="33"/>
  <c r="C21" i="33"/>
  <c r="D21" i="33"/>
  <c r="K33" i="33"/>
  <c r="K34" i="33" s="1"/>
  <c r="K35" i="33" s="1"/>
  <c r="K36" i="33" s="1"/>
  <c r="K37" i="33" s="1"/>
  <c r="K38" i="33" s="1"/>
  <c r="J33" i="33"/>
  <c r="J34" i="33" s="1"/>
  <c r="J35" i="33" s="1"/>
  <c r="J36" i="33" s="1"/>
  <c r="J37" i="33" s="1"/>
  <c r="D33" i="33"/>
  <c r="D34" i="33" s="1"/>
  <c r="D35" i="33" s="1"/>
  <c r="D36" i="33" s="1"/>
  <c r="D37" i="33" s="1"/>
  <c r="D38" i="33" s="1"/>
  <c r="C33" i="33"/>
  <c r="C34" i="33" s="1"/>
  <c r="C35" i="33" s="1"/>
  <c r="C36" i="33" s="1"/>
  <c r="C37" i="33" s="1"/>
  <c r="D24" i="33"/>
  <c r="C24" i="33"/>
  <c r="D23" i="33"/>
  <c r="C23" i="33"/>
  <c r="R33" i="30"/>
  <c r="R34" i="30" s="1"/>
  <c r="R35" i="30" s="1"/>
  <c r="R36" i="30" s="1"/>
  <c r="R37" i="30" s="1"/>
  <c r="R38" i="30" s="1"/>
  <c r="D24" i="30"/>
  <c r="C24" i="30"/>
  <c r="D23" i="30"/>
  <c r="C23" i="30"/>
  <c r="C25" i="30" s="1"/>
  <c r="B33" i="30" s="1"/>
  <c r="D21" i="30"/>
  <c r="C21" i="30"/>
  <c r="D20" i="30"/>
  <c r="C20" i="30"/>
  <c r="C33" i="30"/>
  <c r="C34" i="30" s="1"/>
  <c r="C35" i="30" s="1"/>
  <c r="C36" i="30" s="1"/>
  <c r="C37" i="30" s="1"/>
  <c r="D33" i="30"/>
  <c r="D34" i="30" s="1"/>
  <c r="D35" i="30" s="1"/>
  <c r="D36" i="30" s="1"/>
  <c r="D37" i="30" s="1"/>
  <c r="D38" i="30" s="1"/>
  <c r="J33" i="30"/>
  <c r="J34" i="30" s="1"/>
  <c r="J35" i="30" s="1"/>
  <c r="J36" i="30" s="1"/>
  <c r="J37" i="30" s="1"/>
  <c r="K33" i="30"/>
  <c r="K34" i="30" s="1"/>
  <c r="K35" i="30" s="1"/>
  <c r="K36" i="30" s="1"/>
  <c r="K37" i="30" s="1"/>
  <c r="K38" i="30" s="1"/>
  <c r="Q33" i="30"/>
  <c r="Q34" i="30" s="1"/>
  <c r="Q35" i="30" s="1"/>
  <c r="Q36" i="30" s="1"/>
  <c r="Q37" i="30" s="1"/>
  <c r="D21" i="28"/>
  <c r="D20" i="28"/>
  <c r="D24" i="28"/>
  <c r="D23" i="28"/>
  <c r="C24" i="28"/>
  <c r="C23" i="28"/>
  <c r="C21" i="28"/>
  <c r="C20" i="28"/>
  <c r="D22" i="28" l="1"/>
  <c r="C25" i="34"/>
  <c r="P33" i="34" s="1"/>
  <c r="D22" i="71"/>
  <c r="D22" i="34"/>
  <c r="Q38" i="34" s="1"/>
  <c r="C22" i="33"/>
  <c r="D22" i="30"/>
  <c r="D25" i="68"/>
  <c r="I33" i="68" s="1"/>
  <c r="L33" i="68" s="1"/>
  <c r="M33" i="68" s="1"/>
  <c r="C22" i="68"/>
  <c r="J38" i="68" s="1"/>
  <c r="V33" i="68"/>
  <c r="P33" i="68" s="1"/>
  <c r="P34" i="68" s="1"/>
  <c r="E33" i="68"/>
  <c r="F33" i="68" s="1"/>
  <c r="B34" i="68"/>
  <c r="I34" i="68"/>
  <c r="C22" i="71"/>
  <c r="C38" i="71" s="1"/>
  <c r="C25" i="71"/>
  <c r="B33" i="71" s="1"/>
  <c r="B34" i="71" s="1"/>
  <c r="D25" i="71"/>
  <c r="I33" i="71" s="1"/>
  <c r="L33" i="71" s="1"/>
  <c r="C22" i="100"/>
  <c r="C38" i="100" s="1"/>
  <c r="C25" i="100"/>
  <c r="B33" i="100" s="1"/>
  <c r="B34" i="100" s="1"/>
  <c r="D25" i="100"/>
  <c r="I33" i="100" s="1"/>
  <c r="I34" i="100" s="1"/>
  <c r="Q38" i="100"/>
  <c r="J38" i="100"/>
  <c r="E33" i="100"/>
  <c r="F33" i="100" s="1"/>
  <c r="V33" i="100"/>
  <c r="P33" i="100" s="1"/>
  <c r="C22" i="138"/>
  <c r="J38" i="138" s="1"/>
  <c r="B33" i="138"/>
  <c r="I34" i="138"/>
  <c r="L33" i="138"/>
  <c r="M33" i="138" s="1"/>
  <c r="D25" i="34"/>
  <c r="I33" i="34" s="1"/>
  <c r="I34" i="34" s="1"/>
  <c r="C22" i="34"/>
  <c r="C38" i="34" s="1"/>
  <c r="B33" i="34"/>
  <c r="J38" i="34"/>
  <c r="D22" i="33"/>
  <c r="C25" i="33"/>
  <c r="B33" i="33" s="1"/>
  <c r="D25" i="33"/>
  <c r="I33" i="33" s="1"/>
  <c r="I34" i="33" s="1"/>
  <c r="J38" i="33"/>
  <c r="C38" i="33"/>
  <c r="D25" i="30"/>
  <c r="I33" i="30" s="1"/>
  <c r="I34" i="30" s="1"/>
  <c r="I35" i="30" s="1"/>
  <c r="I36" i="30" s="1"/>
  <c r="I37" i="30" s="1"/>
  <c r="C22" i="30"/>
  <c r="C38" i="30" s="1"/>
  <c r="P33" i="30"/>
  <c r="S33" i="30" s="1"/>
  <c r="E33" i="30"/>
  <c r="B34" i="30"/>
  <c r="E34" i="30" s="1"/>
  <c r="C22" i="28"/>
  <c r="F33" i="30" l="1"/>
  <c r="T33" i="30"/>
  <c r="E33" i="71"/>
  <c r="L33" i="30"/>
  <c r="M33" i="30" s="1"/>
  <c r="M33" i="71"/>
  <c r="Q38" i="68"/>
  <c r="S33" i="68"/>
  <c r="T33" i="68" s="1"/>
  <c r="C38" i="68"/>
  <c r="J38" i="71"/>
  <c r="F33" i="71"/>
  <c r="C38" i="138"/>
  <c r="L33" i="34"/>
  <c r="M33" i="34" s="1"/>
  <c r="L33" i="33"/>
  <c r="M33" i="33" s="1"/>
  <c r="B35" i="30"/>
  <c r="E35" i="30" s="1"/>
  <c r="F35" i="30" s="1"/>
  <c r="P35" i="68"/>
  <c r="S34" i="68"/>
  <c r="T34" i="68" s="1"/>
  <c r="I35" i="68"/>
  <c r="L34" i="68"/>
  <c r="M34" i="68" s="1"/>
  <c r="B35" i="68"/>
  <c r="E34" i="68"/>
  <c r="F34" i="68" s="1"/>
  <c r="I34" i="71"/>
  <c r="L34" i="71" s="1"/>
  <c r="M34" i="71" s="1"/>
  <c r="B35" i="71"/>
  <c r="E34" i="71"/>
  <c r="F34" i="71" s="1"/>
  <c r="I35" i="71"/>
  <c r="L33" i="100"/>
  <c r="M33" i="100" s="1"/>
  <c r="P34" i="100"/>
  <c r="S33" i="100"/>
  <c r="T33" i="100" s="1"/>
  <c r="E34" i="100"/>
  <c r="F34" i="100" s="1"/>
  <c r="B35" i="100"/>
  <c r="I35" i="100"/>
  <c r="L34" i="100"/>
  <c r="M34" i="100" s="1"/>
  <c r="I35" i="138"/>
  <c r="L34" i="138"/>
  <c r="M34" i="138" s="1"/>
  <c r="B34" i="138"/>
  <c r="E33" i="138"/>
  <c r="F33" i="138" s="1"/>
  <c r="P34" i="34"/>
  <c r="S33" i="34"/>
  <c r="T33" i="34" s="1"/>
  <c r="I35" i="34"/>
  <c r="L34" i="34"/>
  <c r="M34" i="34" s="1"/>
  <c r="B34" i="34"/>
  <c r="E33" i="34"/>
  <c r="F33" i="34" s="1"/>
  <c r="J38" i="30"/>
  <c r="P34" i="30"/>
  <c r="P35" i="30" s="1"/>
  <c r="F34" i="30"/>
  <c r="Q38" i="30"/>
  <c r="I35" i="33"/>
  <c r="L34" i="33"/>
  <c r="M34" i="33" s="1"/>
  <c r="E33" i="33"/>
  <c r="F33" i="33" s="1"/>
  <c r="B34" i="33"/>
  <c r="L34" i="30"/>
  <c r="M34" i="30" s="1"/>
  <c r="S34" i="30" l="1"/>
  <c r="T34" i="30" s="1"/>
  <c r="B36" i="30"/>
  <c r="I36" i="68"/>
  <c r="L35" i="68"/>
  <c r="M35" i="68" s="1"/>
  <c r="B36" i="68"/>
  <c r="E35" i="68"/>
  <c r="F35" i="68" s="1"/>
  <c r="P36" i="68"/>
  <c r="S35" i="68"/>
  <c r="T35" i="68" s="1"/>
  <c r="B36" i="71"/>
  <c r="E35" i="71"/>
  <c r="F35" i="71" s="1"/>
  <c r="I36" i="71"/>
  <c r="L35" i="71"/>
  <c r="M35" i="71" s="1"/>
  <c r="B36" i="100"/>
  <c r="E35" i="100"/>
  <c r="F35" i="100" s="1"/>
  <c r="I36" i="100"/>
  <c r="L35" i="100"/>
  <c r="M35" i="100" s="1"/>
  <c r="P35" i="100"/>
  <c r="S34" i="100"/>
  <c r="T34" i="100" s="1"/>
  <c r="B35" i="138"/>
  <c r="E34" i="138"/>
  <c r="F34" i="138" s="1"/>
  <c r="I36" i="138"/>
  <c r="L35" i="138"/>
  <c r="M35" i="138" s="1"/>
  <c r="L35" i="34"/>
  <c r="M35" i="34" s="1"/>
  <c r="I36" i="34"/>
  <c r="B35" i="34"/>
  <c r="E34" i="34"/>
  <c r="F34" i="34" s="1"/>
  <c r="P35" i="34"/>
  <c r="S34" i="34"/>
  <c r="T34" i="34" s="1"/>
  <c r="I36" i="33"/>
  <c r="L35" i="33"/>
  <c r="M35" i="33" s="1"/>
  <c r="B35" i="33"/>
  <c r="E34" i="33"/>
  <c r="F34" i="33" s="1"/>
  <c r="S35" i="30"/>
  <c r="T35" i="30" s="1"/>
  <c r="P36" i="30"/>
  <c r="E36" i="30"/>
  <c r="F36" i="30" s="1"/>
  <c r="B37" i="30"/>
  <c r="L35" i="30"/>
  <c r="M35" i="30" s="1"/>
  <c r="B37" i="68" l="1"/>
  <c r="E36" i="68"/>
  <c r="F36" i="68" s="1"/>
  <c r="P37" i="68"/>
  <c r="S36" i="68"/>
  <c r="T36" i="68" s="1"/>
  <c r="I37" i="68"/>
  <c r="L36" i="68"/>
  <c r="M36" i="68" s="1"/>
  <c r="B37" i="71"/>
  <c r="E36" i="71"/>
  <c r="F36" i="71" s="1"/>
  <c r="I37" i="71"/>
  <c r="L36" i="71"/>
  <c r="M36" i="71" s="1"/>
  <c r="I37" i="100"/>
  <c r="L36" i="100"/>
  <c r="M36" i="100" s="1"/>
  <c r="S35" i="100"/>
  <c r="T35" i="100" s="1"/>
  <c r="P36" i="100"/>
  <c r="B37" i="100"/>
  <c r="E36" i="100"/>
  <c r="F36" i="100" s="1"/>
  <c r="I37" i="138"/>
  <c r="L36" i="138"/>
  <c r="M36" i="138" s="1"/>
  <c r="B36" i="138"/>
  <c r="E35" i="138"/>
  <c r="F35" i="138" s="1"/>
  <c r="P36" i="34"/>
  <c r="S35" i="34"/>
  <c r="T35" i="34" s="1"/>
  <c r="I37" i="34"/>
  <c r="L36" i="34"/>
  <c r="M36" i="34" s="1"/>
  <c r="B36" i="34"/>
  <c r="E35" i="34"/>
  <c r="F35" i="34" s="1"/>
  <c r="B36" i="33"/>
  <c r="E35" i="33"/>
  <c r="F35" i="33" s="1"/>
  <c r="I37" i="33"/>
  <c r="L36" i="33"/>
  <c r="M36" i="33" s="1"/>
  <c r="B38" i="30"/>
  <c r="E38" i="30" s="1"/>
  <c r="B39" i="30" s="1"/>
  <c r="B42" i="30" s="1"/>
  <c r="E37" i="30"/>
  <c r="F37" i="30" s="1"/>
  <c r="B41" i="30" s="1"/>
  <c r="S36" i="30"/>
  <c r="T36" i="30" s="1"/>
  <c r="P37" i="30"/>
  <c r="L36" i="30"/>
  <c r="M36" i="30" s="1"/>
  <c r="L37" i="68" l="1"/>
  <c r="M37" i="68" s="1"/>
  <c r="I41" i="68" s="1"/>
  <c r="I38" i="68"/>
  <c r="L38" i="68" s="1"/>
  <c r="I39" i="68" s="1"/>
  <c r="I42" i="68" s="1"/>
  <c r="S37" i="68"/>
  <c r="T37" i="68" s="1"/>
  <c r="P41" i="68" s="1"/>
  <c r="P38" i="68"/>
  <c r="S38" i="68" s="1"/>
  <c r="P39" i="68" s="1"/>
  <c r="P42" i="68" s="1"/>
  <c r="B38" i="68"/>
  <c r="E38" i="68" s="1"/>
  <c r="B39" i="68" s="1"/>
  <c r="B42" i="68" s="1"/>
  <c r="E37" i="68"/>
  <c r="F37" i="68" s="1"/>
  <c r="B41" i="68" s="1"/>
  <c r="B43" i="68" s="1"/>
  <c r="I38" i="71"/>
  <c r="L38" i="71" s="1"/>
  <c r="I39" i="71" s="1"/>
  <c r="I42" i="71" s="1"/>
  <c r="L37" i="71"/>
  <c r="M37" i="71" s="1"/>
  <c r="I41" i="71" s="1"/>
  <c r="B38" i="71"/>
  <c r="E38" i="71" s="1"/>
  <c r="B39" i="71" s="1"/>
  <c r="B42" i="71" s="1"/>
  <c r="E37" i="71"/>
  <c r="F37" i="71" s="1"/>
  <c r="B41" i="71" s="1"/>
  <c r="B38" i="100"/>
  <c r="E38" i="100" s="1"/>
  <c r="B39" i="100" s="1"/>
  <c r="B42" i="100" s="1"/>
  <c r="E37" i="100"/>
  <c r="F37" i="100" s="1"/>
  <c r="B41" i="100" s="1"/>
  <c r="I38" i="100"/>
  <c r="L38" i="100" s="1"/>
  <c r="I39" i="100" s="1"/>
  <c r="I42" i="100" s="1"/>
  <c r="L37" i="100"/>
  <c r="M37" i="100" s="1"/>
  <c r="I41" i="100" s="1"/>
  <c r="P37" i="100"/>
  <c r="S36" i="100"/>
  <c r="T36" i="100" s="1"/>
  <c r="B37" i="138"/>
  <c r="E36" i="138"/>
  <c r="F36" i="138" s="1"/>
  <c r="L37" i="138"/>
  <c r="M37" i="138" s="1"/>
  <c r="I41" i="138" s="1"/>
  <c r="I38" i="138"/>
  <c r="L38" i="138" s="1"/>
  <c r="I39" i="138" s="1"/>
  <c r="I42" i="138" s="1"/>
  <c r="B37" i="34"/>
  <c r="E36" i="34"/>
  <c r="F36" i="34" s="1"/>
  <c r="S36" i="34"/>
  <c r="T36" i="34" s="1"/>
  <c r="P37" i="34"/>
  <c r="L37" i="34"/>
  <c r="M37" i="34" s="1"/>
  <c r="I41" i="34" s="1"/>
  <c r="I38" i="34"/>
  <c r="L38" i="34" s="1"/>
  <c r="I39" i="34" s="1"/>
  <c r="I42" i="34" s="1"/>
  <c r="L37" i="33"/>
  <c r="I38" i="33"/>
  <c r="L38" i="33" s="1"/>
  <c r="I39" i="33" s="1"/>
  <c r="I42" i="33" s="1"/>
  <c r="B37" i="33"/>
  <c r="E36" i="33"/>
  <c r="F36" i="33" s="1"/>
  <c r="B43" i="30"/>
  <c r="L37" i="30"/>
  <c r="I38" i="30"/>
  <c r="L38" i="30" s="1"/>
  <c r="I39" i="30" s="1"/>
  <c r="I42" i="30" s="1"/>
  <c r="P38" i="30"/>
  <c r="S38" i="30" s="1"/>
  <c r="P39" i="30" s="1"/>
  <c r="P42" i="30" s="1"/>
  <c r="S37" i="30"/>
  <c r="T37" i="30" s="1"/>
  <c r="P41" i="30" s="1"/>
  <c r="I43" i="71" l="1"/>
  <c r="B43" i="100"/>
  <c r="I43" i="138"/>
  <c r="P43" i="68"/>
  <c r="T41" i="68" s="1"/>
  <c r="I43" i="68"/>
  <c r="T42" i="68"/>
  <c r="B43" i="71"/>
  <c r="I43" i="100"/>
  <c r="T42" i="100" s="1"/>
  <c r="S37" i="100"/>
  <c r="T37" i="100" s="1"/>
  <c r="P41" i="100" s="1"/>
  <c r="P38" i="100"/>
  <c r="S38" i="100" s="1"/>
  <c r="P39" i="100" s="1"/>
  <c r="P42" i="100" s="1"/>
  <c r="B38" i="138"/>
  <c r="E38" i="138" s="1"/>
  <c r="B39" i="138" s="1"/>
  <c r="B42" i="138" s="1"/>
  <c r="E37" i="138"/>
  <c r="F37" i="138" s="1"/>
  <c r="B41" i="138" s="1"/>
  <c r="I43" i="34"/>
  <c r="B38" i="34"/>
  <c r="E38" i="34" s="1"/>
  <c r="B39" i="34" s="1"/>
  <c r="B42" i="34" s="1"/>
  <c r="E37" i="34"/>
  <c r="F37" i="34" s="1"/>
  <c r="B41" i="34" s="1"/>
  <c r="S37" i="34"/>
  <c r="T37" i="34" s="1"/>
  <c r="P41" i="34" s="1"/>
  <c r="P38" i="34"/>
  <c r="S38" i="34" s="1"/>
  <c r="P39" i="34" s="1"/>
  <c r="P42" i="34" s="1"/>
  <c r="M37" i="30"/>
  <c r="I41" i="30" s="1"/>
  <c r="I43" i="30" s="1"/>
  <c r="M37" i="33"/>
  <c r="I41" i="33" s="1"/>
  <c r="I43" i="33" s="1"/>
  <c r="B38" i="33"/>
  <c r="E38" i="33" s="1"/>
  <c r="B39" i="33" s="1"/>
  <c r="B42" i="33" s="1"/>
  <c r="E37" i="33"/>
  <c r="F37" i="33" s="1"/>
  <c r="B41" i="33" s="1"/>
  <c r="P43" i="30"/>
  <c r="T43" i="68" l="1"/>
  <c r="B43" i="34"/>
  <c r="U42" i="34"/>
  <c r="B43" i="33"/>
  <c r="P43" i="100"/>
  <c r="T41" i="100" s="1"/>
  <c r="T43" i="100" s="1"/>
  <c r="B43" i="138"/>
  <c r="P43" i="34"/>
  <c r="U41" i="34" s="1"/>
  <c r="U43" i="34" s="1"/>
</calcChain>
</file>

<file path=xl/sharedStrings.xml><?xml version="1.0" encoding="utf-8"?>
<sst xmlns="http://schemas.openxmlformats.org/spreadsheetml/2006/main" count="894" uniqueCount="200">
  <si>
    <t>Total</t>
  </si>
  <si>
    <t>Source:</t>
  </si>
  <si>
    <t>c)</t>
  </si>
  <si>
    <t>Year</t>
  </si>
  <si>
    <t>20X1</t>
  </si>
  <si>
    <t>20X2</t>
  </si>
  <si>
    <t>20X3</t>
  </si>
  <si>
    <t>20X4</t>
  </si>
  <si>
    <t>20X5</t>
  </si>
  <si>
    <t>Given:</t>
  </si>
  <si>
    <t>Two firms considering a merger</t>
  </si>
  <si>
    <t>Risk-free rate</t>
  </si>
  <si>
    <t>Risk premium</t>
  </si>
  <si>
    <t>Acquiring Firm</t>
  </si>
  <si>
    <t>Target Firm</t>
  </si>
  <si>
    <t>Beta</t>
  </si>
  <si>
    <t>Pretax cost of debt</t>
  </si>
  <si>
    <t>Tax rate</t>
  </si>
  <si>
    <t>Revenues</t>
  </si>
  <si>
    <t>Operating income (EBIT)</t>
  </si>
  <si>
    <t>Pretax return on capital</t>
  </si>
  <si>
    <t>Reinvestment Rate</t>
  </si>
  <si>
    <t>Length of Growth period</t>
  </si>
  <si>
    <t>5 years</t>
  </si>
  <si>
    <t>Cost of equity</t>
  </si>
  <si>
    <t>After-tax cost of capital</t>
  </si>
  <si>
    <t>Cost of capital</t>
  </si>
  <si>
    <t>After-tax return on capital</t>
  </si>
  <si>
    <t>Reinvestment rate</t>
  </si>
  <si>
    <t>Expected growth rate</t>
  </si>
  <si>
    <t>Acquiring</t>
  </si>
  <si>
    <t>Target</t>
  </si>
  <si>
    <t>Combined</t>
  </si>
  <si>
    <t>EBIT</t>
  </si>
  <si>
    <t>REINV</t>
  </si>
  <si>
    <t>Tax</t>
  </si>
  <si>
    <t>FCFF</t>
  </si>
  <si>
    <t>NPV FCFF</t>
  </si>
  <si>
    <t>Terminal</t>
  </si>
  <si>
    <t>Total NPV</t>
  </si>
  <si>
    <t>PV of Term</t>
  </si>
  <si>
    <t>Damodaran on Valuation, 2nd Edition, 2012 - Ch. 15 Value of Synergy</t>
  </si>
  <si>
    <t>a) Calculate the expeccted growth rate for the next 5 years for each firm based on the After-tax return on capital and Reinvestment rate</t>
  </si>
  <si>
    <t>b) Calculate the reinvestment rate for year 6 and later based on the expected growth rate in perpetuity and the return on capital</t>
  </si>
  <si>
    <r>
      <t xml:space="preserve">c) Calculate the value of each of the two firms and the combined firm </t>
    </r>
    <r>
      <rPr>
        <b/>
        <sz val="11"/>
        <color theme="1"/>
        <rFont val="Calibri"/>
        <family val="2"/>
        <scheme val="minor"/>
      </rPr>
      <t>without</t>
    </r>
    <r>
      <rPr>
        <sz val="11"/>
        <color theme="1"/>
        <rFont val="Calibri"/>
        <family val="2"/>
        <scheme val="minor"/>
      </rPr>
      <t xml:space="preserve"> synergies in the table below</t>
    </r>
  </si>
  <si>
    <t>Additional assumptions</t>
  </si>
  <si>
    <t>Assume both firms have stable growth after 5 years</t>
  </si>
  <si>
    <t>Assume both firms will grow at the risk-free rate after 5 years</t>
  </si>
  <si>
    <t>Debt-to-capital ratio</t>
  </si>
  <si>
    <t>a) Answer note: Expected growth rate = After-tax return on capital x Reinvestment rate</t>
  </si>
  <si>
    <t>b) Answer note: reinvestment rate in perpetuity can be calculated as expected growth rate in perpetuity / return on captial</t>
  </si>
  <si>
    <t>Combined w/ Synergy</t>
  </si>
  <si>
    <t>Value of Synergy</t>
  </si>
  <si>
    <t>Continuing on from solution from Q1</t>
  </si>
  <si>
    <t>Assume combined firm will save $18 million in pre-tax operating earnings in current year and that those savings will grow every year</t>
  </si>
  <si>
    <t xml:space="preserve">a) Answer note: For cost savings synergies, just need to reflect it in the future EBIT correctly and recalculate New combined value versus Combined value without synergies </t>
  </si>
  <si>
    <t>New AT ROC on Combined firm</t>
  </si>
  <si>
    <t>New Growth Rate</t>
  </si>
  <si>
    <t>Assume combined firm will be able to increase it's after tax return on capital to 12.60%</t>
  </si>
  <si>
    <t>a) Calculate the value of the combined firm with those synergies in the table below and the value of synergies</t>
  </si>
  <si>
    <t>New Reinvestment Rate</t>
  </si>
  <si>
    <t>Reinvestment Rate * Return on Capital</t>
  </si>
  <si>
    <t>a) given the values below for XYZ bank, calculate the values highlighted in yellow:</t>
  </si>
  <si>
    <t xml:space="preserve"> - cost of equity</t>
  </si>
  <si>
    <t xml:space="preserve"> - income taxes</t>
  </si>
  <si>
    <t xml:space="preserve"> - cash flow to equity</t>
  </si>
  <si>
    <t xml:space="preserve"> - total value of equity</t>
  </si>
  <si>
    <t>Long-term Risk-free rate</t>
  </si>
  <si>
    <t>Market Risk Premium</t>
  </si>
  <si>
    <t>Beta for XYZ Bank</t>
  </si>
  <si>
    <t>Cost of Equity</t>
  </si>
  <si>
    <t>RONE (Return on New Equity)</t>
  </si>
  <si>
    <t>Net income growth for terminal value</t>
  </si>
  <si>
    <t>20X0</t>
  </si>
  <si>
    <t>20X6/Terminal value</t>
  </si>
  <si>
    <t>Loans</t>
  </si>
  <si>
    <t>Total assets</t>
  </si>
  <si>
    <t>Deposits</t>
  </si>
  <si>
    <t>Equity</t>
  </si>
  <si>
    <t>Total liabilities</t>
  </si>
  <si>
    <t>Interest Income</t>
  </si>
  <si>
    <t>Interest expense</t>
  </si>
  <si>
    <t>Net interest income</t>
  </si>
  <si>
    <t>Operating expense</t>
  </si>
  <si>
    <t>Operating profit before tax</t>
  </si>
  <si>
    <t>Income taxes</t>
  </si>
  <si>
    <t>Net income</t>
  </si>
  <si>
    <t>Cash flow statement</t>
  </si>
  <si>
    <t>(Increase) decrease in equity</t>
  </si>
  <si>
    <t>Other comprehensive (income) loss</t>
  </si>
  <si>
    <t>Cash flow to equity</t>
  </si>
  <si>
    <t>Discount factor</t>
  </si>
  <si>
    <t>Value of equity</t>
  </si>
  <si>
    <t>Total value of equity today</t>
  </si>
  <si>
    <t>key ratios</t>
  </si>
  <si>
    <t>Loan growth</t>
  </si>
  <si>
    <t>Loan interest rate</t>
  </si>
  <si>
    <t>Deposit growth</t>
  </si>
  <si>
    <t>Deposit interest rate</t>
  </si>
  <si>
    <t>Cost/income</t>
  </si>
  <si>
    <t>Equity/total assets</t>
  </si>
  <si>
    <t>Return on equity (Beg. Of Year eqty)</t>
  </si>
  <si>
    <r>
      <rPr>
        <b/>
        <sz val="11"/>
        <color theme="1"/>
        <rFont val="Calibri"/>
        <family val="2"/>
        <scheme val="minor"/>
      </rPr>
      <t>Answer note</t>
    </r>
    <r>
      <rPr>
        <sz val="11"/>
        <color theme="1"/>
        <rFont val="Calibri"/>
        <family val="2"/>
        <scheme val="minor"/>
      </rPr>
      <t>: Discount factor based on cost of equity</t>
    </r>
  </si>
  <si>
    <r>
      <rPr>
        <b/>
        <sz val="11"/>
        <color theme="1"/>
        <rFont val="Calibri"/>
        <family val="2"/>
        <scheme val="minor"/>
      </rPr>
      <t>Answer note</t>
    </r>
    <r>
      <rPr>
        <sz val="11"/>
        <color theme="1"/>
        <rFont val="Calibri"/>
        <family val="2"/>
        <scheme val="minor"/>
      </rPr>
      <t>: to get Net income for the following year (t+1), need to take the previous year's income and grow it for one year</t>
    </r>
  </si>
  <si>
    <t>Valuation: Measuring and Managing the Value of Companies, Koller, Tim, Goedhart, Marc, Wessels, David, 8th Edition, 2025 - Chapter 43 Banks</t>
  </si>
  <si>
    <t>XYZ Balance Sheet</t>
  </si>
  <si>
    <t>XYZ Income Statement</t>
  </si>
  <si>
    <t>Annual savings before growth</t>
  </si>
  <si>
    <t xml:space="preserve">Damodaran on Valuation, 2nd Edition, 2012 - Ch. 15 Value of Synergy  </t>
  </si>
  <si>
    <t>Valuation: Measuring and Managing the Value of Companies, Koller, Tim, Goedhart, Marc, Wessels, David, 8th Edition, 2025 - Chapter 32 Divestitures</t>
  </si>
  <si>
    <t>Remaining</t>
  </si>
  <si>
    <t>Business</t>
  </si>
  <si>
    <t>Business to be</t>
  </si>
  <si>
    <t>Standalone</t>
  </si>
  <si>
    <t>ABC</t>
  </si>
  <si>
    <t>Divested (DEF)</t>
  </si>
  <si>
    <t>a) Calculate the value created for ABC by this divestiture</t>
  </si>
  <si>
    <t>ABC Firm - Remaining Business</t>
  </si>
  <si>
    <t>Business to be Divested (DEF) - stand-alone</t>
  </si>
  <si>
    <t>Combined Value Today with $18 milliont in annual (and growing savings)</t>
  </si>
  <si>
    <t>Value Created for ABC</t>
  </si>
  <si>
    <t>Price received</t>
  </si>
  <si>
    <t xml:space="preserve"> - Stand-alone value</t>
  </si>
  <si>
    <t xml:space="preserve"> - lost synergies</t>
  </si>
  <si>
    <t xml:space="preserve"> - disentanglement costs</t>
  </si>
  <si>
    <t xml:space="preserve"> - stranded costs</t>
  </si>
  <si>
    <t xml:space="preserve"> = value created for ABC</t>
  </si>
  <si>
    <t>Company ABC will lose $18 million (and growing) in annual synergies</t>
  </si>
  <si>
    <t>Company ABC will incur one-time disentanglement costs of $12 million and one-time stranded costs of $8 million</t>
  </si>
  <si>
    <t>Value of LOST Synergy</t>
  </si>
  <si>
    <t>(this builds on the solution from Q1 &amp; Q2- but you may want to work from first principles to get more practice on synergies &amp; loss of synergies)</t>
  </si>
  <si>
    <t xml:space="preserve">   you need the combined company value with synergies, and the stand-alone values of both companies!</t>
  </si>
  <si>
    <r>
      <rPr>
        <b/>
        <sz val="11"/>
        <color theme="1"/>
        <rFont val="Calibri"/>
        <family val="2"/>
        <scheme val="minor"/>
      </rPr>
      <t>Answer comment:</t>
    </r>
    <r>
      <rPr>
        <sz val="11"/>
        <color theme="1"/>
        <rFont val="Calibri"/>
        <family val="2"/>
        <scheme val="minor"/>
      </rPr>
      <t xml:space="preserve"> With divestitures, to calculate the value of lost synergies, </t>
    </r>
  </si>
  <si>
    <t>Day</t>
  </si>
  <si>
    <t>Random#</t>
  </si>
  <si>
    <t>Demand in</t>
  </si>
  <si>
    <t>Quantiy of</t>
  </si>
  <si>
    <t>Price of</t>
  </si>
  <si>
    <t xml:space="preserve">Daily </t>
  </si>
  <si>
    <t>Earnings</t>
  </si>
  <si>
    <t>Demand</t>
  </si>
  <si>
    <t>Probability</t>
  </si>
  <si>
    <t>Price follows normal distribution</t>
  </si>
  <si>
    <t>Cumulative Probability</t>
  </si>
  <si>
    <t>Daily Earnings = Price * Demand - Daily costs</t>
  </si>
  <si>
    <t>Daily costs =</t>
  </si>
  <si>
    <t>c) Using only the results of the 20-day simulation, calculate the expected value for daily earnings</t>
  </si>
  <si>
    <t>d) Using only the results of the 20-day simulation, calculate the standard deviation of the daily earnings</t>
  </si>
  <si>
    <t>= expected value of daily earnings</t>
  </si>
  <si>
    <t>= standard devation of daily earnings</t>
  </si>
  <si>
    <t>Data, Models and Decisions: The Fundamentals of Management Science, Bertsimas, Dimitris and Freund, Robert, 2004  - Chapter 5 Simulation Modeling</t>
  </si>
  <si>
    <t>= probability &lt; $1,000</t>
  </si>
  <si>
    <t>= most fish that can be sold (if not sold, goes stale and cannot be stored in inventory)</t>
  </si>
  <si>
    <t>Norris Fisheries catches mackeral fish off the Italian coast every day.  The fish can be sold in Rome that evening, but the demand varies according to a discrete probability distribution</t>
  </si>
  <si>
    <t>The daily price of the mackeral fish has followed a normal distribution.</t>
  </si>
  <si>
    <t>Norris Fisheries wants to do a 20-day simulation to understand it's average daily earnings, standard deviation, and probability that earnings will be less $1,000</t>
  </si>
  <si>
    <t>Daily mackeral catch limit</t>
  </si>
  <si>
    <t>Mackeral Sold</t>
  </si>
  <si>
    <t>mean/pound</t>
  </si>
  <si>
    <t>stan. Dev / pound</t>
  </si>
  <si>
    <t>a) With the random numbers give below, calculate the daily demand, daily price, and daily earnings of Norris Fisheriesin the table below</t>
  </si>
  <si>
    <t>Their fixed daily costs are</t>
  </si>
  <si>
    <t>They catch 3000 pounds every day (their daily limit), but can only sell the amount of daily demand in Rome.   All unsold mackeral will go stale and cannot be stored in inventory</t>
  </si>
  <si>
    <t>b) Using only the results of the 20-day simulation, calculate the probability that the daily earnings are less than:</t>
  </si>
  <si>
    <t>A</t>
  </si>
  <si>
    <t>B</t>
  </si>
  <si>
    <t>Rome - A</t>
  </si>
  <si>
    <t>Mackeral/pd - B</t>
  </si>
  <si>
    <r>
      <rPr>
        <b/>
        <sz val="11"/>
        <color theme="1"/>
        <rFont val="Calibri"/>
        <family val="2"/>
        <scheme val="minor"/>
      </rPr>
      <t xml:space="preserve"> Answer note:</t>
    </r>
    <r>
      <rPr>
        <sz val="11"/>
        <color theme="1"/>
        <rFont val="Calibri"/>
        <family val="2"/>
        <scheme val="minor"/>
      </rPr>
      <t xml:space="preserve"> need to set up a cumulative probability table to be used correctly by the VLOOKUP discrete probability calculations for demand in table below</t>
    </r>
  </si>
  <si>
    <r>
      <rPr>
        <b/>
        <sz val="11"/>
        <color theme="1"/>
        <rFont val="Calibri"/>
        <family val="2"/>
        <scheme val="minor"/>
      </rPr>
      <t>Answer comment:</t>
    </r>
    <r>
      <rPr>
        <sz val="11"/>
        <color theme="1"/>
        <rFont val="Calibri"/>
        <family val="2"/>
        <scheme val="minor"/>
      </rPr>
      <t xml:space="preserve"> Need to use Inverse Normal function to convert random number into price</t>
    </r>
  </si>
  <si>
    <t>Q5</t>
  </si>
  <si>
    <t>Q6</t>
  </si>
  <si>
    <t>Q7</t>
  </si>
  <si>
    <t>Data, Models and Decisions - Chapter 5 Simulation Modeling</t>
  </si>
  <si>
    <t>Learning</t>
  </si>
  <si>
    <t>Objective</t>
  </si>
  <si>
    <t>Sources</t>
  </si>
  <si>
    <t>Damodaran on Valuation - Ch. 15 Value of Synergy</t>
  </si>
  <si>
    <t>Valuation: Measuring and Managing the Value of Companies, 2025 - Chapter 32 Divestitures</t>
  </si>
  <si>
    <t>Valuation: Measuring and Managing the Value of Companies, 2025 - Chapter 43 Banks</t>
  </si>
  <si>
    <t>Question</t>
  </si>
  <si>
    <t>Company ABC is selling off its DEF business for $600 million to another company that feels it can increase sales under its own distribution system</t>
  </si>
  <si>
    <t>CP311 - Strategic Management - Guided Examples</t>
  </si>
  <si>
    <t>a) Calculate in the table below the value of the combined firm with the synergy of improved after-tax return on capital and the value of the synergies</t>
  </si>
  <si>
    <t>Assume combined firm will instead be able to increase it's reinvestment rate to 90%.</t>
  </si>
  <si>
    <t>a) Calculate in the table below the value of the combined firm with the synergy from the improved reinvestment rate</t>
  </si>
  <si>
    <t>Q1 to Q4</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</si>
  <si>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</si>
  <si>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</si>
  <si>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</si>
  <si>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</si>
  <si>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</si>
  <si>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</si>
  <si>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education@soa.org</t>
  </si>
  <si>
    <t>Version 2025-1</t>
  </si>
  <si>
    <t xml:space="preserve">Copyright © Society of Actuaries </t>
  </si>
  <si>
    <t>CP 311 – Strategic Management</t>
  </si>
  <si>
    <t>These guided examples have been developed by Steve Scoles, XP Actuarial Exam Preparation,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</si>
  <si>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t>Candidates should note that this course has an additional three guided examples in a companion PDF.</t>
  </si>
  <si>
    <t>Updated: July 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</si>
</sst>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quot;$&quot;#,##0;[Red]\-&quot;$&quot;#,##0"/>
    <numFmt numFmtId="165" formatCode="_-&quot;$&quot;* #,##0.00_-;\-&quot;$&quot;* #,##0.00_-;_-&quot;$&quot;* &quot;-&quot;??_-;_-@_-"/>
    <numFmt numFmtId="166" formatCode="0.0%"/>
    <numFmt numFmtId="167" formatCode="0.000"/>
    <numFmt numFmtId="168" formatCode="_(* #,##0_);_(* \(#,##0\);_(* &quot;-&quot;??_);_(@_)"/>
    <numFmt numFmtId="169" formatCode="[$-409]mmm\-yy;@"/>
    <numFmt numFmtId="170" formatCode="#,##0.0000"/>
    <numFmt numFmtId="171" formatCode="0.000%"/>
    <numFmt numFmtId="172" formatCode="0.0"/>
    <numFmt numFmtId="173"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color rgb="FFFF0000"/>
      <name val="Calibri"/>
      <family val="2"/>
      <scheme val="minor"/>
    </font>
    <font>
      <sz val="11"/>
      <color rgb="FF008000"/>
      <name val="Calibri"/>
      <family val="2"/>
      <scheme val="minor"/>
    </font>
    <font>
      <b/>
      <sz val="11"/>
      <name val="Calibri"/>
      <family val="2"/>
      <scheme val="minor"/>
    </font>
    <font>
      <i/>
      <sz val="10"/>
      <color rgb="FF000000"/>
      <name val="Calibri"/>
      <family val="2"/>
      <scheme val="minor"/>
    </font>
    <font>
      <b/>
      <i/>
      <sz val="11"/>
      <color theme="1"/>
      <name val="Calibri"/>
      <family val="2"/>
      <scheme val="minor"/>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9" fillId="0" borderId="0" applyNumberFormat="0" applyFill="0" applyBorder="0" applyAlignment="0" applyProtection="0"/>
  </cellStyleXfs>
  <cellXfs count="112">
    <xf numFmtId="0" fontId="0" fillId="0" borderId="0" xfId="0"/>
    <xf numFmtId="9" fontId="0" fillId="0" borderId="0" xfId="0" applyNumberFormat="1"/>
    <xf numFmtId="2" fontId="0" fillId="0" borderId="0" xfId="0" applyNumberFormat="1"/>
    <xf numFmtId="9" fontId="0" fillId="0" borderId="0" xfId="2" applyFont="1"/>
    <xf numFmtId="43" fontId="0" fillId="0" borderId="0" xfId="1" applyFont="1"/>
    <xf numFmtId="4" fontId="0" fillId="0" borderId="0" xfId="0" applyNumberFormat="1"/>
    <xf numFmtId="0" fontId="0" fillId="0" borderId="0" xfId="0" applyAlignment="1">
      <alignment horizontal="right"/>
    </xf>
    <xf numFmtId="0" fontId="3" fillId="0" borderId="0" xfId="0" applyFont="1"/>
    <xf numFmtId="166" fontId="0" fillId="0" borderId="0" xfId="2" applyNumberFormat="1" applyFont="1"/>
    <xf numFmtId="3" fontId="0" fillId="0" borderId="0" xfId="0" applyNumberFormat="1"/>
    <xf numFmtId="8" fontId="0" fillId="0" borderId="0" xfId="0" applyNumberFormat="1"/>
    <xf numFmtId="0" fontId="0" fillId="0" borderId="5" xfId="0" applyBorder="1" applyAlignment="1">
      <alignment horizontal="center"/>
    </xf>
    <xf numFmtId="0" fontId="2" fillId="0" borderId="0" xfId="0" applyFont="1"/>
    <xf numFmtId="10" fontId="0" fillId="0" borderId="0" xfId="0" applyNumberFormat="1"/>
    <xf numFmtId="0" fontId="2" fillId="0" borderId="0" xfId="0" applyFont="1" applyAlignment="1">
      <alignment horizontal="centerContinuous"/>
    </xf>
    <xf numFmtId="0" fontId="0" fillId="0" borderId="0" xfId="0" applyAlignment="1">
      <alignment wrapText="1"/>
    </xf>
    <xf numFmtId="0" fontId="0" fillId="0" borderId="0" xfId="0" applyAlignment="1">
      <alignment horizontal="centerContinuous"/>
    </xf>
    <xf numFmtId="169" fontId="0" fillId="0" borderId="0" xfId="0" applyNumberFormat="1" applyAlignment="1">
      <alignment horizontal="right"/>
    </xf>
    <xf numFmtId="3" fontId="0" fillId="0" borderId="0" xfId="0" applyNumberFormat="1" applyAlignment="1">
      <alignment vertical="center"/>
    </xf>
    <xf numFmtId="0" fontId="0" fillId="0" borderId="9" xfId="0" applyBorder="1"/>
    <xf numFmtId="0" fontId="0" fillId="0" borderId="1" xfId="0" applyBorder="1"/>
    <xf numFmtId="6" fontId="0" fillId="0" borderId="0" xfId="0" applyNumberFormat="1"/>
    <xf numFmtId="164" fontId="0" fillId="0" borderId="0" xfId="0" applyNumberFormat="1"/>
    <xf numFmtId="171" fontId="0" fillId="0" borderId="0" xfId="0" applyNumberFormat="1"/>
    <xf numFmtId="165" fontId="5" fillId="0" borderId="0" xfId="3" applyFont="1"/>
    <xf numFmtId="172" fontId="0" fillId="0" borderId="0" xfId="0" applyNumberFormat="1"/>
    <xf numFmtId="165" fontId="0" fillId="0" borderId="0" xfId="3" applyFont="1"/>
    <xf numFmtId="44" fontId="0" fillId="0" borderId="0" xfId="0" applyNumberFormat="1"/>
    <xf numFmtId="44" fontId="2" fillId="0" borderId="0" xfId="0" applyNumberFormat="1" applyFont="1"/>
    <xf numFmtId="165" fontId="2" fillId="0" borderId="0" xfId="3" applyFont="1"/>
    <xf numFmtId="165" fontId="6" fillId="0" borderId="0" xfId="3" applyFont="1"/>
    <xf numFmtId="0" fontId="3" fillId="0" borderId="0" xfId="0" applyFont="1" applyAlignment="1">
      <alignment horizontal="center"/>
    </xf>
    <xf numFmtId="0" fontId="0" fillId="0" borderId="0" xfId="0" applyAlignment="1">
      <alignment horizontal="center"/>
    </xf>
    <xf numFmtId="43" fontId="0" fillId="0" borderId="0" xfId="1" applyFont="1" applyFill="1" applyBorder="1"/>
    <xf numFmtId="43" fontId="0" fillId="0" borderId="0" xfId="0" applyNumberFormat="1"/>
    <xf numFmtId="8" fontId="2" fillId="0" borderId="0" xfId="0" applyNumberFormat="1" applyFont="1"/>
    <xf numFmtId="44" fontId="2" fillId="2" borderId="2" xfId="0" applyNumberFormat="1" applyFont="1" applyFill="1" applyBorder="1"/>
    <xf numFmtId="10" fontId="0" fillId="2" borderId="0" xfId="2" applyNumberFormat="1" applyFont="1" applyFill="1"/>
    <xf numFmtId="10" fontId="0" fillId="2" borderId="2" xfId="2" applyNumberFormat="1" applyFont="1" applyFill="1" applyBorder="1"/>
    <xf numFmtId="10" fontId="0" fillId="2" borderId="10" xfId="0" applyNumberFormat="1" applyFill="1" applyBorder="1"/>
    <xf numFmtId="10" fontId="0" fillId="2" borderId="12" xfId="0" applyNumberFormat="1" applyFill="1" applyBorder="1"/>
    <xf numFmtId="0" fontId="0" fillId="4" borderId="0" xfId="0" applyFill="1"/>
    <xf numFmtId="167" fontId="0" fillId="0" borderId="0" xfId="0" applyNumberFormat="1"/>
    <xf numFmtId="4" fontId="0" fillId="0" borderId="0" xfId="1" applyNumberFormat="1" applyFont="1" applyFill="1" applyBorder="1"/>
    <xf numFmtId="9" fontId="0" fillId="0" borderId="0" xfId="2" applyFont="1" applyFill="1" applyBorder="1"/>
    <xf numFmtId="166" fontId="0" fillId="0" borderId="0" xfId="2" applyNumberFormat="1" applyFont="1" applyFill="1" applyBorder="1"/>
    <xf numFmtId="10" fontId="0" fillId="0" borderId="0" xfId="2" applyNumberFormat="1" applyFont="1" applyFill="1" applyBorder="1"/>
    <xf numFmtId="4" fontId="2" fillId="0" borderId="0" xfId="0" applyNumberFormat="1" applyFont="1"/>
    <xf numFmtId="10" fontId="0" fillId="4" borderId="0" xfId="2" applyNumberFormat="1" applyFont="1" applyFill="1"/>
    <xf numFmtId="169" fontId="0" fillId="0" borderId="0" xfId="0" applyNumberFormat="1"/>
    <xf numFmtId="170" fontId="0" fillId="0" borderId="0" xfId="0" applyNumberFormat="1"/>
    <xf numFmtId="170" fontId="2" fillId="2" borderId="0" xfId="0" applyNumberFormat="1" applyFont="1" applyFill="1"/>
    <xf numFmtId="167" fontId="0" fillId="0" borderId="0" xfId="0" applyNumberFormat="1" applyAlignment="1">
      <alignment horizontal="right"/>
    </xf>
    <xf numFmtId="168" fontId="0" fillId="0" borderId="0" xfId="1" applyNumberFormat="1" applyFont="1" applyBorder="1"/>
    <xf numFmtId="3" fontId="2" fillId="2" borderId="0" xfId="0" applyNumberFormat="1" applyFont="1" applyFill="1"/>
    <xf numFmtId="170" fontId="0" fillId="3" borderId="0" xfId="0" applyNumberFormat="1" applyFill="1"/>
    <xf numFmtId="10" fontId="0" fillId="0" borderId="0" xfId="2" applyNumberFormat="1" applyFont="1" applyFill="1"/>
    <xf numFmtId="2" fontId="2" fillId="0" borderId="0" xfId="0" applyNumberFormat="1" applyFont="1"/>
    <xf numFmtId="0" fontId="7" fillId="0" borderId="0" xfId="0" applyFont="1" applyAlignment="1">
      <alignment horizontal="left" vertical="center" indent="2"/>
    </xf>
    <xf numFmtId="10" fontId="0" fillId="2" borderId="2" xfId="0" applyNumberFormat="1" applyFill="1" applyBorder="1"/>
    <xf numFmtId="2" fontId="0" fillId="2" borderId="11" xfId="0" applyNumberFormat="1" applyFill="1" applyBorder="1"/>
    <xf numFmtId="0" fontId="2" fillId="2" borderId="0" xfId="0" applyFont="1" applyFill="1"/>
    <xf numFmtId="0" fontId="4" fillId="2" borderId="0" xfId="0" applyFont="1" applyFill="1"/>
    <xf numFmtId="2" fontId="2" fillId="2" borderId="2" xfId="0" applyNumberFormat="1" applyFont="1" applyFill="1" applyBorder="1"/>
    <xf numFmtId="0" fontId="8" fillId="4" borderId="0" xfId="0" applyFont="1" applyFill="1" applyAlignment="1">
      <alignment horizontal="right"/>
    </xf>
    <xf numFmtId="10" fontId="3" fillId="0" borderId="0" xfId="0" applyNumberFormat="1" applyFont="1"/>
    <xf numFmtId="165" fontId="0" fillId="2" borderId="2" xfId="3" applyFont="1" applyFill="1" applyBorder="1"/>
    <xf numFmtId="3" fontId="2" fillId="0" borderId="0" xfId="0" applyNumberFormat="1" applyFont="1" applyAlignment="1">
      <alignment horizontal="center"/>
    </xf>
    <xf numFmtId="0" fontId="0" fillId="0" borderId="6" xfId="0" applyBorder="1"/>
    <xf numFmtId="0" fontId="0" fillId="0" borderId="4" xfId="0" applyBorder="1"/>
    <xf numFmtId="0" fontId="0" fillId="0" borderId="7" xfId="0" applyBorder="1" applyAlignment="1">
      <alignment horizontal="center"/>
    </xf>
    <xf numFmtId="0" fontId="0" fillId="0" borderId="9" xfId="0" applyBorder="1" applyAlignment="1">
      <alignment horizontal="center"/>
    </xf>
    <xf numFmtId="3" fontId="0" fillId="0" borderId="1" xfId="0" applyNumberFormat="1" applyBorder="1"/>
    <xf numFmtId="0" fontId="0" fillId="0" borderId="8" xfId="0" applyBorder="1" applyAlignment="1">
      <alignment horizontal="center"/>
    </xf>
    <xf numFmtId="164" fontId="0" fillId="0" borderId="1" xfId="0" applyNumberFormat="1" applyBorder="1"/>
    <xf numFmtId="173" fontId="0" fillId="0" borderId="1" xfId="0" applyNumberFormat="1" applyBorder="1"/>
    <xf numFmtId="0" fontId="0" fillId="0" borderId="0" xfId="0" quotePrefix="1"/>
    <xf numFmtId="2" fontId="0" fillId="0" borderId="1" xfId="0" applyNumberFormat="1" applyBorder="1" applyAlignment="1">
      <alignment horizontal="right"/>
    </xf>
    <xf numFmtId="0" fontId="2" fillId="0" borderId="1" xfId="0" applyFont="1" applyBorder="1"/>
    <xf numFmtId="0" fontId="2" fillId="0" borderId="1" xfId="0" applyFont="1" applyBorder="1" applyAlignment="1">
      <alignment horizontal="right"/>
    </xf>
    <xf numFmtId="2" fontId="0" fillId="0" borderId="1" xfId="0" applyNumberFormat="1" applyBorder="1"/>
    <xf numFmtId="3" fontId="0" fillId="0" borderId="0" xfId="0" quotePrefix="1" applyNumberFormat="1"/>
    <xf numFmtId="164" fontId="0" fillId="0" borderId="13" xfId="0" applyNumberFormat="1" applyBorder="1"/>
    <xf numFmtId="164" fontId="0" fillId="2" borderId="3" xfId="0" applyNumberFormat="1" applyFill="1" applyBorder="1"/>
    <xf numFmtId="164" fontId="0" fillId="2" borderId="2" xfId="0" applyNumberFormat="1" applyFill="1" applyBorder="1"/>
    <xf numFmtId="9" fontId="0" fillId="2" borderId="2" xfId="2" applyFont="1" applyFill="1" applyBorder="1"/>
    <xf numFmtId="0" fontId="2" fillId="0" borderId="0" xfId="0" applyFont="1" applyAlignment="1">
      <alignment horizontal="right"/>
    </xf>
    <xf numFmtId="0" fontId="0" fillId="0" borderId="8" xfId="0" applyBorder="1"/>
    <xf numFmtId="0" fontId="0" fillId="0" borderId="5" xfId="0" applyBorder="1"/>
    <xf numFmtId="0" fontId="0" fillId="0" borderId="13" xfId="0" applyBorder="1"/>
    <xf numFmtId="0" fontId="0" fillId="0" borderId="14" xfId="0" applyBorder="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5" xfId="0" applyFont="1" applyBorder="1" applyAlignment="1">
      <alignment horizontal="center"/>
    </xf>
    <xf numFmtId="0" fontId="8" fillId="0" borderId="0" xfId="0" applyFont="1" applyAlignment="1">
      <alignment horizontal="right"/>
    </xf>
    <xf numFmtId="0" fontId="11" fillId="0" borderId="0" xfId="0" applyFont="1"/>
    <xf numFmtId="0" fontId="0" fillId="0" borderId="0" xfId="0" applyAlignment="1">
      <alignment horizontal="right" vertical="top" indent="1"/>
    </xf>
    <xf numFmtId="0" fontId="13" fillId="0" borderId="0" xfId="0" applyFont="1" applyAlignment="1">
      <alignment horizontal="left" wrapText="1"/>
    </xf>
    <xf numFmtId="0" fontId="13" fillId="0" borderId="0" xfId="0" applyFont="1"/>
    <xf numFmtId="0" fontId="14" fillId="0" borderId="0" xfId="4" applyFont="1"/>
    <xf numFmtId="0" fontId="15" fillId="0" borderId="0" xfId="0" applyFont="1"/>
    <xf numFmtId="0" fontId="13" fillId="0" borderId="0" xfId="0" applyFont="1" applyAlignment="1">
      <alignment horizontal="left" vertical="top" wrapText="1"/>
    </xf>
    <xf numFmtId="0" fontId="13" fillId="0" borderId="0" xfId="0" applyFont="1" applyAlignment="1">
      <alignment horizontal="left" wrapText="1"/>
    </xf>
    <xf numFmtId="0" fontId="10" fillId="0" borderId="0" xfId="0" applyFont="1" applyAlignment="1">
      <alignment horizontal="center"/>
    </xf>
    <xf numFmtId="0" fontId="12" fillId="0" borderId="0" xfId="0" applyFont="1" applyAlignment="1">
      <alignment horizontal="center"/>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horizontal="right"/>
    </xf>
    <xf numFmtId="0" fontId="13" fillId="0" borderId="0" xfId="0" applyFont="1" applyAlignment="1">
      <alignment horizontal="left" vertical="top" wrapText="1"/>
    </xf>
  </cellXfs>
  <cellStyles count="5">
    <cellStyle name="Comma" xfId="1" builtinId="3"/>
    <cellStyle name="Currency" xfId="3" builtinId="4"/>
    <cellStyle name="Hyperlink" xfId="4" builtinId="8"/>
    <cellStyle name="Normal" xfId="0" builtinId="0"/>
    <cellStyle name="Percent" xfId="2" builtinId="5"/>
  </cellStyles>
  <dxfs count="6">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131732</xdr:rowOff>
    </xdr:to>
    <xdr:pic>
      <xdr:nvPicPr>
        <xdr:cNvPr id="2" name="Picture 1">
          <a:extLst>
            <a:ext uri="{FF2B5EF4-FFF2-40B4-BE49-F238E27FC236}">
              <a16:creationId xmlns:a16="http://schemas.microsoft.com/office/drawing/2014/main" id="{26CDD44C-7A63-489F-A07C-4E64623679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14636"/>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08A62FF4-62FB-40FE-9AC3-5CE06EEFA75D}"/>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9F78F572-C74D-4066-BE5B-7F1B013DF80E}"/>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17929</xdr:colOff>
      <xdr:row>14</xdr:row>
      <xdr:rowOff>62752</xdr:rowOff>
    </xdr:from>
    <xdr:to>
      <xdr:col>6</xdr:col>
      <xdr:colOff>796361</xdr:colOff>
      <xdr:row>17</xdr:row>
      <xdr:rowOff>31242</xdr:rowOff>
    </xdr:to>
    <xdr:pic>
      <xdr:nvPicPr>
        <xdr:cNvPr id="3" name="Picture 2">
          <a:extLst>
            <a:ext uri="{FF2B5EF4-FFF2-40B4-BE49-F238E27FC236}">
              <a16:creationId xmlns:a16="http://schemas.microsoft.com/office/drawing/2014/main" id="{B5616B1A-B796-EDF3-EAF2-0A15EB2BD025}"/>
            </a:ext>
          </a:extLst>
        </xdr:cNvPr>
        <xdr:cNvPicPr>
          <a:picLocks noChangeAspect="1"/>
        </xdr:cNvPicPr>
      </xdr:nvPicPr>
      <xdr:blipFill>
        <a:blip xmlns:r="http://schemas.openxmlformats.org/officeDocument/2006/relationships" r:embed="rId1"/>
        <a:stretch>
          <a:fillRect/>
        </a:stretch>
      </xdr:blipFill>
      <xdr:spPr>
        <a:xfrm>
          <a:off x="3630705" y="2572870"/>
          <a:ext cx="3414056" cy="524301"/>
        </a:xfrm>
        <a:prstGeom prst="rect">
          <a:avLst/>
        </a:prstGeom>
      </xdr:spPr>
    </xdr:pic>
    <xdr:clientData/>
  </xdr:twoCellAnchor>
  <xdr:twoCellAnchor editAs="oneCell">
    <xdr:from>
      <xdr:col>2</xdr:col>
      <xdr:colOff>116541</xdr:colOff>
      <xdr:row>15</xdr:row>
      <xdr:rowOff>26894</xdr:rowOff>
    </xdr:from>
    <xdr:to>
      <xdr:col>2</xdr:col>
      <xdr:colOff>835931</xdr:colOff>
      <xdr:row>15</xdr:row>
      <xdr:rowOff>185404</xdr:rowOff>
    </xdr:to>
    <xdr:pic>
      <xdr:nvPicPr>
        <xdr:cNvPr id="4" name="Picture 3">
          <a:extLst>
            <a:ext uri="{FF2B5EF4-FFF2-40B4-BE49-F238E27FC236}">
              <a16:creationId xmlns:a16="http://schemas.microsoft.com/office/drawing/2014/main" id="{7EF18BFD-089F-EDB5-84FD-27CA73DD7829}"/>
            </a:ext>
          </a:extLst>
        </xdr:cNvPr>
        <xdr:cNvPicPr>
          <a:picLocks noChangeAspect="1"/>
        </xdr:cNvPicPr>
      </xdr:nvPicPr>
      <xdr:blipFill>
        <a:blip xmlns:r="http://schemas.openxmlformats.org/officeDocument/2006/relationships" r:embed="rId2"/>
        <a:stretch>
          <a:fillRect/>
        </a:stretch>
      </xdr:blipFill>
      <xdr:spPr>
        <a:xfrm>
          <a:off x="2850776" y="2725270"/>
          <a:ext cx="719390" cy="158510"/>
        </a:xfrm>
        <a:prstGeom prst="rect">
          <a:avLst/>
        </a:prstGeom>
      </xdr:spPr>
    </xdr:pic>
    <xdr:clientData/>
  </xdr:twoCellAnchor>
  <xdr:twoCellAnchor editAs="oneCell">
    <xdr:from>
      <xdr:col>9</xdr:col>
      <xdr:colOff>71718</xdr:colOff>
      <xdr:row>42</xdr:row>
      <xdr:rowOff>80683</xdr:rowOff>
    </xdr:from>
    <xdr:to>
      <xdr:col>16</xdr:col>
      <xdr:colOff>480635</xdr:colOff>
      <xdr:row>47</xdr:row>
      <xdr:rowOff>110884</xdr:rowOff>
    </xdr:to>
    <xdr:pic>
      <xdr:nvPicPr>
        <xdr:cNvPr id="5" name="Picture 4">
          <a:extLst>
            <a:ext uri="{FF2B5EF4-FFF2-40B4-BE49-F238E27FC236}">
              <a16:creationId xmlns:a16="http://schemas.microsoft.com/office/drawing/2014/main" id="{1290A3B7-B2C6-302F-54A6-01716D227AD0}"/>
            </a:ext>
          </a:extLst>
        </xdr:cNvPr>
        <xdr:cNvPicPr>
          <a:picLocks noChangeAspect="1"/>
        </xdr:cNvPicPr>
      </xdr:nvPicPr>
      <xdr:blipFill>
        <a:blip xmlns:r="http://schemas.openxmlformats.org/officeDocument/2006/relationships" r:embed="rId3"/>
        <a:stretch>
          <a:fillRect/>
        </a:stretch>
      </xdr:blipFill>
      <xdr:spPr>
        <a:xfrm>
          <a:off x="8848165" y="7628965"/>
          <a:ext cx="5590517" cy="926672"/>
        </a:xfrm>
        <a:prstGeom prst="rect">
          <a:avLst/>
        </a:prstGeom>
      </xdr:spPr>
    </xdr:pic>
    <xdr:clientData/>
  </xdr:twoCellAnchor>
  <xdr:twoCellAnchor editAs="oneCell">
    <xdr:from>
      <xdr:col>8</xdr:col>
      <xdr:colOff>0</xdr:colOff>
      <xdr:row>45</xdr:row>
      <xdr:rowOff>0</xdr:rowOff>
    </xdr:from>
    <xdr:to>
      <xdr:col>8</xdr:col>
      <xdr:colOff>719390</xdr:colOff>
      <xdr:row>45</xdr:row>
      <xdr:rowOff>158510</xdr:rowOff>
    </xdr:to>
    <xdr:pic>
      <xdr:nvPicPr>
        <xdr:cNvPr id="6" name="Picture 5">
          <a:extLst>
            <a:ext uri="{FF2B5EF4-FFF2-40B4-BE49-F238E27FC236}">
              <a16:creationId xmlns:a16="http://schemas.microsoft.com/office/drawing/2014/main" id="{2ABACBA7-046A-0062-4A86-FFD4B6B61B28}"/>
            </a:ext>
          </a:extLst>
        </xdr:cNvPr>
        <xdr:cNvPicPr>
          <a:picLocks noChangeAspect="1"/>
        </xdr:cNvPicPr>
      </xdr:nvPicPr>
      <xdr:blipFill>
        <a:blip xmlns:r="http://schemas.openxmlformats.org/officeDocument/2006/relationships" r:embed="rId2"/>
        <a:stretch>
          <a:fillRect/>
        </a:stretch>
      </xdr:blipFill>
      <xdr:spPr>
        <a:xfrm>
          <a:off x="8005482" y="8086165"/>
          <a:ext cx="719390" cy="158510"/>
        </a:xfrm>
        <a:prstGeom prst="rect">
          <a:avLst/>
        </a:prstGeom>
      </xdr:spPr>
    </xdr:pic>
    <xdr:clientData/>
  </xdr:twoCellAnchor>
  <xdr:twoCellAnchor>
    <xdr:from>
      <xdr:col>8</xdr:col>
      <xdr:colOff>44824</xdr:colOff>
      <xdr:row>47</xdr:row>
      <xdr:rowOff>143435</xdr:rowOff>
    </xdr:from>
    <xdr:to>
      <xdr:col>8</xdr:col>
      <xdr:colOff>744071</xdr:colOff>
      <xdr:row>51</xdr:row>
      <xdr:rowOff>0</xdr:rowOff>
    </xdr:to>
    <xdr:cxnSp macro="">
      <xdr:nvCxnSpPr>
        <xdr:cNvPr id="8" name="Straight Arrow Connector 7">
          <a:extLst>
            <a:ext uri="{FF2B5EF4-FFF2-40B4-BE49-F238E27FC236}">
              <a16:creationId xmlns:a16="http://schemas.microsoft.com/office/drawing/2014/main" id="{ECEA2B2A-5A1A-D23A-BBFE-245A5D78AE75}"/>
            </a:ext>
          </a:extLst>
        </xdr:cNvPr>
        <xdr:cNvCxnSpPr/>
      </xdr:nvCxnSpPr>
      <xdr:spPr>
        <a:xfrm>
          <a:off x="8507506" y="8588188"/>
          <a:ext cx="699247" cy="59167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788894</xdr:colOff>
      <xdr:row>27</xdr:row>
      <xdr:rowOff>125506</xdr:rowOff>
    </xdr:from>
    <xdr:to>
      <xdr:col>8</xdr:col>
      <xdr:colOff>842683</xdr:colOff>
      <xdr:row>28</xdr:row>
      <xdr:rowOff>134471</xdr:rowOff>
    </xdr:to>
    <xdr:cxnSp macro="">
      <xdr:nvCxnSpPr>
        <xdr:cNvPr id="3" name="Straight Arrow Connector 2">
          <a:extLst>
            <a:ext uri="{FF2B5EF4-FFF2-40B4-BE49-F238E27FC236}">
              <a16:creationId xmlns:a16="http://schemas.microsoft.com/office/drawing/2014/main" id="{D6D7C046-BDC0-0B89-2179-25551A16D528}"/>
            </a:ext>
          </a:extLst>
        </xdr:cNvPr>
        <xdr:cNvCxnSpPr/>
      </xdr:nvCxnSpPr>
      <xdr:spPr>
        <a:xfrm flipV="1">
          <a:off x="5522259" y="4966447"/>
          <a:ext cx="3056965" cy="1882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esearch\ZDP49%20(Fee%20Schedule%20Analyzer%20Model%20Update)\2021\Work%20Files\Milliman%202021%20Fee%20Schedule%20Analysis%20Model.xlsm" TargetMode="External"/><Relationship Id="rId1" Type="http://schemas.openxmlformats.org/officeDocument/2006/relationships/externalLinkPath" Target="file:///T:\Research\ZDP49%20(Fee%20Schedule%20Analyzer%20Model%20Update)\2021\Work%20Files\Milliman%202021%20Fee%20Schedule%20Analysis%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cense"/>
      <sheetName val="User Input"/>
      <sheetName val="Print Options"/>
      <sheetName val="Fee Schedule Library"/>
      <sheetName val="Active Fee Schedules"/>
      <sheetName val="Specialty Selection"/>
      <sheetName val="Summary"/>
      <sheetName val="Specialty Sample"/>
      <sheetName val="CL and Part B"/>
      <sheetName val="RBRVS"/>
      <sheetName val="Result Calcs"/>
      <sheetName val="Util Matrix"/>
      <sheetName val="Base Util Weights"/>
      <sheetName val="Estimated RVUs"/>
      <sheetName val="CPT Code Indicators"/>
      <sheetName val="Estimated Fees"/>
      <sheetName val="GPCI"/>
    </sheetNames>
    <sheetDataSet>
      <sheetData sheetId="0"/>
      <sheetData sheetId="1">
        <row r="74">
          <cell r="C74">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A82BD-0F9F-415B-BAE3-DA818504BC41}">
  <sheetPr>
    <tabColor rgb="FF0070C0"/>
    <pageSetUpPr autoPageBreaks="0"/>
  </sheetPr>
  <dimension ref="A6:J24"/>
  <sheetViews>
    <sheetView showGridLines="0" tabSelected="1" zoomScale="115" zoomScaleNormal="115" workbookViewId="0">
      <selection activeCell="D25" sqref="D25"/>
    </sheetView>
  </sheetViews>
  <sheetFormatPr defaultRowHeight="14.4" x14ac:dyDescent="0.3"/>
  <sheetData>
    <row r="6" spans="1:10" ht="33.6" x14ac:dyDescent="0.65">
      <c r="A6" s="106" t="s">
        <v>187</v>
      </c>
      <c r="B6" s="106"/>
      <c r="C6" s="106"/>
      <c r="D6" s="106"/>
      <c r="E6" s="106"/>
      <c r="F6" s="106"/>
      <c r="G6" s="106"/>
      <c r="H6" s="106"/>
      <c r="I6" s="106"/>
      <c r="J6" s="106"/>
    </row>
    <row r="7" spans="1:10" ht="6" customHeight="1" x14ac:dyDescent="0.3">
      <c r="A7" s="98"/>
      <c r="B7" s="98"/>
      <c r="C7" s="98"/>
      <c r="D7" s="98"/>
      <c r="E7" s="98"/>
      <c r="F7" s="98"/>
      <c r="G7" s="98"/>
      <c r="H7" s="98"/>
      <c r="I7" s="98"/>
      <c r="J7" s="98"/>
    </row>
    <row r="8" spans="1:10" ht="21" x14ac:dyDescent="0.4">
      <c r="A8" s="107" t="s">
        <v>196</v>
      </c>
      <c r="B8" s="107"/>
      <c r="C8" s="107"/>
      <c r="D8" s="107"/>
      <c r="E8" s="107"/>
      <c r="F8" s="107"/>
      <c r="G8" s="107"/>
      <c r="H8" s="107"/>
      <c r="I8" s="107"/>
      <c r="J8" s="107"/>
    </row>
    <row r="10" spans="1:10" ht="75" customHeight="1" x14ac:dyDescent="0.3">
      <c r="A10" s="99" t="s">
        <v>188</v>
      </c>
      <c r="B10" s="105" t="s">
        <v>189</v>
      </c>
      <c r="C10" s="105"/>
      <c r="D10" s="105"/>
      <c r="E10" s="105"/>
      <c r="F10" s="105"/>
      <c r="G10" s="105"/>
      <c r="H10" s="105"/>
      <c r="I10" s="105"/>
      <c r="J10" s="105"/>
    </row>
    <row r="11" spans="1:10" x14ac:dyDescent="0.3">
      <c r="B11" s="101"/>
      <c r="C11" s="101"/>
      <c r="D11" s="101"/>
      <c r="E11" s="101"/>
      <c r="F11" s="101"/>
      <c r="G11" s="101"/>
      <c r="H11" s="101"/>
      <c r="I11" s="101"/>
      <c r="J11" s="101"/>
    </row>
    <row r="12" spans="1:10" ht="45" customHeight="1" x14ac:dyDescent="0.3">
      <c r="A12" s="99" t="s">
        <v>188</v>
      </c>
      <c r="B12" s="105" t="s">
        <v>190</v>
      </c>
      <c r="C12" s="105"/>
      <c r="D12" s="105"/>
      <c r="E12" s="105"/>
      <c r="F12" s="105"/>
      <c r="G12" s="105"/>
      <c r="H12" s="105"/>
      <c r="I12" s="105"/>
      <c r="J12" s="105"/>
    </row>
    <row r="13" spans="1:10" x14ac:dyDescent="0.3">
      <c r="B13" s="101"/>
      <c r="C13" s="101"/>
      <c r="D13" s="101"/>
      <c r="E13" s="101"/>
      <c r="F13" s="101"/>
      <c r="G13" s="101"/>
      <c r="H13" s="101"/>
      <c r="I13" s="101"/>
      <c r="J13" s="101"/>
    </row>
    <row r="14" spans="1:10" ht="30" customHeight="1" x14ac:dyDescent="0.3">
      <c r="A14" s="99" t="s">
        <v>188</v>
      </c>
      <c r="B14" s="105" t="s">
        <v>191</v>
      </c>
      <c r="C14" s="105"/>
      <c r="D14" s="105"/>
      <c r="E14" s="105"/>
      <c r="F14" s="105"/>
      <c r="G14" s="105"/>
      <c r="H14" s="105"/>
      <c r="I14" s="105"/>
      <c r="J14" s="105"/>
    </row>
    <row r="15" spans="1:10" x14ac:dyDescent="0.3">
      <c r="B15" s="101"/>
      <c r="C15" s="101"/>
      <c r="D15" s="101"/>
      <c r="E15" s="101"/>
      <c r="F15" s="101"/>
      <c r="G15" s="101"/>
      <c r="H15" s="101"/>
      <c r="I15" s="101"/>
      <c r="J15" s="101"/>
    </row>
    <row r="16" spans="1:10" ht="60" customHeight="1" x14ac:dyDescent="0.3">
      <c r="A16" s="99" t="s">
        <v>188</v>
      </c>
      <c r="B16" s="105" t="s">
        <v>192</v>
      </c>
      <c r="C16" s="105"/>
      <c r="D16" s="105"/>
      <c r="E16" s="105"/>
      <c r="F16" s="105"/>
      <c r="G16" s="105"/>
      <c r="H16" s="105"/>
      <c r="I16" s="105"/>
      <c r="J16" s="105"/>
    </row>
    <row r="17" spans="1:10" x14ac:dyDescent="0.3">
      <c r="A17" s="99"/>
      <c r="B17" s="100"/>
      <c r="C17" s="100"/>
      <c r="D17" s="100"/>
      <c r="E17" s="100"/>
      <c r="F17" s="100"/>
      <c r="G17" s="100"/>
      <c r="H17" s="100"/>
      <c r="I17" s="100"/>
      <c r="J17" s="100"/>
    </row>
    <row r="18" spans="1:10" ht="31.2" customHeight="1" x14ac:dyDescent="0.3">
      <c r="A18" s="99" t="s">
        <v>188</v>
      </c>
      <c r="B18" s="111" t="s">
        <v>198</v>
      </c>
      <c r="C18" s="111"/>
      <c r="D18" s="111"/>
      <c r="E18" s="111"/>
      <c r="F18" s="111"/>
      <c r="G18" s="111"/>
      <c r="H18" s="111"/>
      <c r="I18" s="111"/>
      <c r="J18" s="111"/>
    </row>
    <row r="19" spans="1:10" x14ac:dyDescent="0.3">
      <c r="A19" s="99"/>
      <c r="B19" s="104"/>
      <c r="C19" s="104"/>
      <c r="D19" s="104"/>
      <c r="E19" s="104"/>
      <c r="F19" s="104"/>
      <c r="G19" s="104"/>
      <c r="H19" s="104"/>
      <c r="I19" s="104"/>
      <c r="J19" s="104"/>
    </row>
    <row r="20" spans="1:10" ht="75" customHeight="1" x14ac:dyDescent="0.3">
      <c r="A20" s="99" t="s">
        <v>188</v>
      </c>
      <c r="B20" s="105" t="s">
        <v>197</v>
      </c>
      <c r="C20" s="105"/>
      <c r="D20" s="105"/>
      <c r="E20" s="105"/>
      <c r="F20" s="105"/>
      <c r="G20" s="105"/>
      <c r="H20" s="105"/>
      <c r="I20" s="105"/>
      <c r="J20" s="105"/>
    </row>
    <row r="21" spans="1:10" x14ac:dyDescent="0.3">
      <c r="B21" s="102" t="s">
        <v>193</v>
      </c>
      <c r="C21" s="103"/>
      <c r="D21" s="103"/>
      <c r="E21" s="103"/>
      <c r="F21" s="103"/>
      <c r="G21" s="103"/>
      <c r="H21" s="103"/>
      <c r="I21" s="103"/>
      <c r="J21" s="103"/>
    </row>
    <row r="24" spans="1:10" x14ac:dyDescent="0.3">
      <c r="B24" s="108" t="s">
        <v>194</v>
      </c>
      <c r="C24" s="108"/>
      <c r="D24" s="109" t="s">
        <v>199</v>
      </c>
      <c r="E24" s="109"/>
      <c r="F24" s="109"/>
      <c r="G24" s="109"/>
      <c r="H24" s="110" t="s">
        <v>195</v>
      </c>
      <c r="I24" s="110"/>
      <c r="J24" s="110"/>
    </row>
  </sheetData>
  <mergeCells count="11">
    <mergeCell ref="B20:J20"/>
    <mergeCell ref="B24:C24"/>
    <mergeCell ref="D24:G24"/>
    <mergeCell ref="H24:J24"/>
    <mergeCell ref="B18:J18"/>
    <mergeCell ref="B16:J16"/>
    <mergeCell ref="A6:J6"/>
    <mergeCell ref="A8:J8"/>
    <mergeCell ref="B10:J10"/>
    <mergeCell ref="B12:J12"/>
    <mergeCell ref="B14:J14"/>
  </mergeCells>
  <hyperlinks>
    <hyperlink ref="B21" r:id="rId1" xr:uid="{2A214351-E7C8-41F8-96DE-9E1FCD395A7B}"/>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AEA05-1508-4A13-A416-3ED438D143DE}">
  <sheetPr codeName="Sheet46">
    <tabColor theme="9" tint="0.59999389629810485"/>
  </sheetPr>
  <dimension ref="A1:Z189"/>
  <sheetViews>
    <sheetView zoomScale="115" zoomScaleNormal="115" workbookViewId="0"/>
  </sheetViews>
  <sheetFormatPr defaultRowHeight="14.4" x14ac:dyDescent="0.3"/>
  <cols>
    <col min="2" max="2" width="17.5546875" customWidth="1"/>
    <col min="3" max="20" width="12.77734375" customWidth="1"/>
  </cols>
  <sheetData>
    <row r="1" spans="1:6" x14ac:dyDescent="0.3">
      <c r="A1" s="7" t="s">
        <v>1</v>
      </c>
    </row>
    <row r="2" spans="1:6" x14ac:dyDescent="0.3">
      <c r="A2" t="s">
        <v>41</v>
      </c>
    </row>
    <row r="3" spans="1:6" x14ac:dyDescent="0.3">
      <c r="A3" s="12" t="s">
        <v>53</v>
      </c>
    </row>
    <row r="4" spans="1:6" x14ac:dyDescent="0.3">
      <c r="A4" s="7" t="s">
        <v>9</v>
      </c>
      <c r="F4" s="7" t="s">
        <v>45</v>
      </c>
    </row>
    <row r="5" spans="1:6" x14ac:dyDescent="0.3">
      <c r="A5" t="s">
        <v>10</v>
      </c>
    </row>
    <row r="6" spans="1:6" x14ac:dyDescent="0.3">
      <c r="A6" t="s">
        <v>11</v>
      </c>
      <c r="C6" s="13">
        <v>4.2500000000000003E-2</v>
      </c>
      <c r="F6" t="s">
        <v>47</v>
      </c>
    </row>
    <row r="7" spans="1:6" x14ac:dyDescent="0.3">
      <c r="A7" t="s">
        <v>12</v>
      </c>
      <c r="C7" s="13">
        <v>0.04</v>
      </c>
    </row>
    <row r="8" spans="1:6" x14ac:dyDescent="0.3">
      <c r="C8" s="13"/>
    </row>
    <row r="9" spans="1:6" x14ac:dyDescent="0.3">
      <c r="C9" s="31" t="s">
        <v>13</v>
      </c>
      <c r="D9" s="31" t="s">
        <v>14</v>
      </c>
    </row>
    <row r="10" spans="1:6" x14ac:dyDescent="0.3">
      <c r="A10" t="s">
        <v>15</v>
      </c>
      <c r="C10">
        <v>0.85</v>
      </c>
      <c r="D10">
        <v>0.85</v>
      </c>
    </row>
    <row r="11" spans="1:6" x14ac:dyDescent="0.3">
      <c r="A11" t="s">
        <v>16</v>
      </c>
      <c r="C11" s="1">
        <v>0.05</v>
      </c>
      <c r="D11" s="1">
        <v>0.05</v>
      </c>
    </row>
    <row r="12" spans="1:6" x14ac:dyDescent="0.3">
      <c r="A12" t="s">
        <v>17</v>
      </c>
      <c r="C12" s="1">
        <v>0.25</v>
      </c>
      <c r="D12" s="1">
        <v>0.25</v>
      </c>
    </row>
    <row r="13" spans="1:6" x14ac:dyDescent="0.3">
      <c r="A13" t="s">
        <v>48</v>
      </c>
      <c r="C13" s="1">
        <v>0.1</v>
      </c>
      <c r="D13" s="1">
        <v>0.1</v>
      </c>
    </row>
    <row r="14" spans="1:6" x14ac:dyDescent="0.3">
      <c r="A14" t="s">
        <v>18</v>
      </c>
      <c r="C14" s="22">
        <v>1000</v>
      </c>
      <c r="D14" s="22">
        <v>500</v>
      </c>
    </row>
    <row r="15" spans="1:6" x14ac:dyDescent="0.3">
      <c r="A15" t="s">
        <v>19</v>
      </c>
      <c r="C15" s="22">
        <v>50</v>
      </c>
      <c r="D15" s="22">
        <v>25</v>
      </c>
    </row>
    <row r="16" spans="1:6" x14ac:dyDescent="0.3">
      <c r="A16" t="s">
        <v>20</v>
      </c>
      <c r="C16" s="1">
        <v>0.15</v>
      </c>
      <c r="D16" s="1">
        <v>0.15</v>
      </c>
    </row>
    <row r="17" spans="1:25" x14ac:dyDescent="0.3">
      <c r="A17" t="s">
        <v>21</v>
      </c>
      <c r="C17" s="1">
        <v>0.7</v>
      </c>
      <c r="D17" s="1">
        <v>0.7</v>
      </c>
    </row>
    <row r="18" spans="1:25" x14ac:dyDescent="0.3">
      <c r="A18" t="s">
        <v>22</v>
      </c>
      <c r="C18" s="6" t="s">
        <v>23</v>
      </c>
      <c r="D18" s="6" t="s">
        <v>23</v>
      </c>
      <c r="F18" t="s">
        <v>46</v>
      </c>
    </row>
    <row r="20" spans="1:25" x14ac:dyDescent="0.3">
      <c r="A20" t="s">
        <v>24</v>
      </c>
      <c r="C20" s="13">
        <f>C6+C10*C7</f>
        <v>7.6500000000000012E-2</v>
      </c>
      <c r="D20" s="13">
        <f>+C6+D10*C7</f>
        <v>7.6500000000000012E-2</v>
      </c>
    </row>
    <row r="21" spans="1:25" x14ac:dyDescent="0.3">
      <c r="A21" t="s">
        <v>25</v>
      </c>
      <c r="C21" s="13">
        <f>C11*(1-C12)</f>
        <v>3.7500000000000006E-2</v>
      </c>
      <c r="D21" s="13">
        <f>D11*(1-D12)</f>
        <v>3.7500000000000006E-2</v>
      </c>
    </row>
    <row r="22" spans="1:25" x14ac:dyDescent="0.3">
      <c r="A22" t="s">
        <v>26</v>
      </c>
      <c r="C22" s="23">
        <f>C13*C21+(1-C13)*C20</f>
        <v>7.2600000000000012E-2</v>
      </c>
      <c r="D22" s="23">
        <f>D13*D21+(1-D13)*D20</f>
        <v>7.2600000000000012E-2</v>
      </c>
    </row>
    <row r="23" spans="1:25" x14ac:dyDescent="0.3">
      <c r="A23" t="s">
        <v>27</v>
      </c>
      <c r="C23" s="13">
        <f>C16*(1-C12)</f>
        <v>0.11249999999999999</v>
      </c>
      <c r="D23" s="13">
        <f>D16*(1-D12)</f>
        <v>0.11249999999999999</v>
      </c>
    </row>
    <row r="24" spans="1:25" x14ac:dyDescent="0.3">
      <c r="A24" t="s">
        <v>28</v>
      </c>
      <c r="C24" s="1">
        <f>+C17</f>
        <v>0.7</v>
      </c>
      <c r="D24" s="1">
        <f>+D17</f>
        <v>0.7</v>
      </c>
    </row>
    <row r="25" spans="1:25" x14ac:dyDescent="0.3">
      <c r="A25" t="s">
        <v>29</v>
      </c>
      <c r="C25" s="13">
        <f>+C23*C24</f>
        <v>7.8749999999999987E-2</v>
      </c>
      <c r="D25" s="13">
        <f>+D23*D24</f>
        <v>7.8749999999999987E-2</v>
      </c>
      <c r="X25" s="9"/>
    </row>
    <row r="26" spans="1:25" x14ac:dyDescent="0.3">
      <c r="X26" s="9"/>
      <c r="Y26" s="9"/>
    </row>
    <row r="27" spans="1:25" x14ac:dyDescent="0.3">
      <c r="A27" s="12" t="s">
        <v>184</v>
      </c>
    </row>
    <row r="28" spans="1:25" x14ac:dyDescent="0.3">
      <c r="A28" t="s">
        <v>185</v>
      </c>
    </row>
    <row r="30" spans="1:25" x14ac:dyDescent="0.3">
      <c r="O30" t="s">
        <v>60</v>
      </c>
      <c r="R30" s="37">
        <v>0.9</v>
      </c>
    </row>
    <row r="31" spans="1:25" x14ac:dyDescent="0.3">
      <c r="A31" s="12" t="s">
        <v>30</v>
      </c>
      <c r="H31" s="12" t="s">
        <v>31</v>
      </c>
      <c r="O31" s="12" t="s">
        <v>32</v>
      </c>
    </row>
    <row r="32" spans="1:25" x14ac:dyDescent="0.3">
      <c r="A32" t="s">
        <v>3</v>
      </c>
      <c r="B32" t="s">
        <v>33</v>
      </c>
      <c r="C32" t="s">
        <v>34</v>
      </c>
      <c r="D32" t="s">
        <v>35</v>
      </c>
      <c r="E32" t="s">
        <v>36</v>
      </c>
      <c r="F32" t="s">
        <v>37</v>
      </c>
      <c r="I32" t="s">
        <v>33</v>
      </c>
      <c r="J32" t="s">
        <v>34</v>
      </c>
      <c r="K32" t="s">
        <v>35</v>
      </c>
      <c r="L32" t="s">
        <v>36</v>
      </c>
      <c r="M32" t="s">
        <v>37</v>
      </c>
      <c r="P32" t="s">
        <v>33</v>
      </c>
      <c r="Q32" t="s">
        <v>34</v>
      </c>
      <c r="R32" t="s">
        <v>35</v>
      </c>
      <c r="S32" t="s">
        <v>36</v>
      </c>
      <c r="T32" t="s">
        <v>37</v>
      </c>
    </row>
    <row r="33" spans="1:26" x14ac:dyDescent="0.3">
      <c r="A33">
        <v>1</v>
      </c>
      <c r="B33" s="24">
        <f>+C15*(1+C25)</f>
        <v>53.937499999999993</v>
      </c>
      <c r="C33" s="1">
        <f>+C17</f>
        <v>0.7</v>
      </c>
      <c r="D33" s="2">
        <f>+C12</f>
        <v>0.25</v>
      </c>
      <c r="E33" s="26">
        <f>B33*(1-C33)*(1-D33)</f>
        <v>12.135937499999999</v>
      </c>
      <c r="F33" s="26">
        <f>E33/(1+$C$22)^A33</f>
        <v>11.314504475107215</v>
      </c>
      <c r="H33">
        <v>1</v>
      </c>
      <c r="I33" s="24">
        <f>+D15*(1+D25)</f>
        <v>26.968749999999996</v>
      </c>
      <c r="J33" s="1">
        <f>+D17</f>
        <v>0.7</v>
      </c>
      <c r="K33" s="2">
        <f>+D12</f>
        <v>0.25</v>
      </c>
      <c r="L33" s="26">
        <f>I33*(1-J33)*(1-K33)</f>
        <v>6.0679687499999995</v>
      </c>
      <c r="M33" s="26">
        <f>L33/(1+$D$22)^H33</f>
        <v>5.6572522375536076</v>
      </c>
      <c r="O33">
        <v>1</v>
      </c>
      <c r="P33" s="24">
        <f>(+C15+D15)*(1+$V$33)</f>
        <v>82.59375</v>
      </c>
      <c r="Q33" s="1">
        <f>+R30</f>
        <v>0.9</v>
      </c>
      <c r="R33" s="2">
        <f>+C12</f>
        <v>0.25</v>
      </c>
      <c r="S33" s="26">
        <f>P33*(1-Q33)*(1-R33)</f>
        <v>6.1945312499999989</v>
      </c>
      <c r="T33" s="26">
        <f>S33/(1+$C$22)^O33</f>
        <v>5.7752482286033926</v>
      </c>
      <c r="U33" s="41" t="s">
        <v>57</v>
      </c>
      <c r="V33" s="48">
        <f>C23*R30</f>
        <v>0.10124999999999999</v>
      </c>
      <c r="W33" s="41" t="s">
        <v>61</v>
      </c>
      <c r="X33" s="41"/>
      <c r="Y33" s="41"/>
      <c r="Z33" s="41"/>
    </row>
    <row r="34" spans="1:26" x14ac:dyDescent="0.3">
      <c r="A34">
        <v>2</v>
      </c>
      <c r="B34" s="26">
        <f>B33*(1+$C$25)</f>
        <v>58.185078124999983</v>
      </c>
      <c r="C34" s="1">
        <f>+C33</f>
        <v>0.7</v>
      </c>
      <c r="D34" s="2">
        <f>+D33</f>
        <v>0.25</v>
      </c>
      <c r="E34" s="26">
        <f t="shared" ref="E34:E37" si="0">B34*(1-C34)*(1-D34)</f>
        <v>13.091642578124999</v>
      </c>
      <c r="F34" s="26">
        <f t="shared" ref="F34:F37" si="1">E34/(1+$C$22)^A34</f>
        <v>11.379378801530775</v>
      </c>
      <c r="H34">
        <v>2</v>
      </c>
      <c r="I34" s="26">
        <f>I33*(1+$D$25)</f>
        <v>29.092539062499991</v>
      </c>
      <c r="J34" s="1">
        <f>+J33</f>
        <v>0.7</v>
      </c>
      <c r="K34" s="2">
        <f>+K33</f>
        <v>0.25</v>
      </c>
      <c r="L34" s="26">
        <f t="shared" ref="L34:L37" si="2">I34*(1-J34)*(1-K34)</f>
        <v>6.5458212890624994</v>
      </c>
      <c r="M34" s="26">
        <f t="shared" ref="M34:M37" si="3">L34/(1+$D$22)^H34</f>
        <v>5.6896894007653875</v>
      </c>
      <c r="O34">
        <v>2</v>
      </c>
      <c r="P34" s="24">
        <f>P33*(1+$V$33)</f>
        <v>90.956367187500007</v>
      </c>
      <c r="Q34" s="1">
        <f>+Q33</f>
        <v>0.9</v>
      </c>
      <c r="R34" s="2">
        <f>+R33</f>
        <v>0.25</v>
      </c>
      <c r="S34" s="26">
        <f t="shared" ref="S34:S37" si="4">P34*(1-Q34)*(1-R34)</f>
        <v>6.8217275390624987</v>
      </c>
      <c r="T34" s="26">
        <f t="shared" ref="T34:T37" si="5">S34/(1+$C$22)^O34</f>
        <v>5.9295097070198457</v>
      </c>
    </row>
    <row r="35" spans="1:26" x14ac:dyDescent="0.3">
      <c r="A35">
        <v>3</v>
      </c>
      <c r="B35" s="26">
        <f t="shared" ref="B35:B37" si="6">B34*(1+$C$25)</f>
        <v>62.767153027343724</v>
      </c>
      <c r="C35" s="1">
        <f t="shared" ref="C35:D38" si="7">+C34</f>
        <v>0.7</v>
      </c>
      <c r="D35" s="2">
        <f t="shared" si="7"/>
        <v>0.25</v>
      </c>
      <c r="E35" s="26">
        <f t="shared" si="0"/>
        <v>14.122609431152341</v>
      </c>
      <c r="F35" s="26">
        <f t="shared" si="1"/>
        <v>11.444625099898678</v>
      </c>
      <c r="H35">
        <v>3</v>
      </c>
      <c r="I35" s="26">
        <f t="shared" ref="I35:I37" si="8">I34*(1+$D$25)</f>
        <v>31.383576513671862</v>
      </c>
      <c r="J35" s="1">
        <f t="shared" ref="J35:K38" si="9">+J34</f>
        <v>0.7</v>
      </c>
      <c r="K35" s="2">
        <f t="shared" si="9"/>
        <v>0.25</v>
      </c>
      <c r="L35" s="26">
        <f t="shared" si="2"/>
        <v>7.0613047155761706</v>
      </c>
      <c r="M35" s="26">
        <f t="shared" si="3"/>
        <v>5.722312549949339</v>
      </c>
      <c r="O35">
        <v>3</v>
      </c>
      <c r="P35" s="24">
        <f>P34*(1+$V$33)</f>
        <v>100.16569936523439</v>
      </c>
      <c r="Q35" s="1">
        <f t="shared" ref="Q35:R37" si="10">+Q34</f>
        <v>0.9</v>
      </c>
      <c r="R35" s="2">
        <f t="shared" si="10"/>
        <v>0.25</v>
      </c>
      <c r="S35" s="26">
        <f t="shared" si="4"/>
        <v>7.5124274523925774</v>
      </c>
      <c r="T35" s="26">
        <f t="shared" si="5"/>
        <v>6.0878916323471985</v>
      </c>
    </row>
    <row r="36" spans="1:26" x14ac:dyDescent="0.3">
      <c r="A36">
        <v>4</v>
      </c>
      <c r="B36" s="26">
        <f t="shared" si="6"/>
        <v>67.710066328247038</v>
      </c>
      <c r="C36" s="1">
        <f t="shared" si="7"/>
        <v>0.7</v>
      </c>
      <c r="D36" s="2">
        <f t="shared" si="7"/>
        <v>0.25</v>
      </c>
      <c r="E36" s="26">
        <f t="shared" si="0"/>
        <v>15.234764923855586</v>
      </c>
      <c r="F36" s="26">
        <f t="shared" si="1"/>
        <v>11.510245502998041</v>
      </c>
      <c r="H36">
        <v>4</v>
      </c>
      <c r="I36" s="26">
        <f t="shared" si="8"/>
        <v>33.855033164123519</v>
      </c>
      <c r="J36" s="1">
        <f t="shared" si="9"/>
        <v>0.7</v>
      </c>
      <c r="K36" s="2">
        <f t="shared" si="9"/>
        <v>0.25</v>
      </c>
      <c r="L36" s="26">
        <f t="shared" si="2"/>
        <v>7.617382461927793</v>
      </c>
      <c r="M36" s="26">
        <f t="shared" si="3"/>
        <v>5.7551227514990204</v>
      </c>
      <c r="O36">
        <v>4</v>
      </c>
      <c r="P36" s="24">
        <f>P35*(1+$V$33)</f>
        <v>110.30747642596438</v>
      </c>
      <c r="Q36" s="1">
        <f t="shared" si="10"/>
        <v>0.9</v>
      </c>
      <c r="R36" s="2">
        <f t="shared" si="10"/>
        <v>0.25</v>
      </c>
      <c r="S36" s="26">
        <f t="shared" si="4"/>
        <v>8.2730607319473268</v>
      </c>
      <c r="T36" s="26">
        <f t="shared" si="5"/>
        <v>6.2505040650031267</v>
      </c>
    </row>
    <row r="37" spans="1:26" x14ac:dyDescent="0.3">
      <c r="A37">
        <v>5</v>
      </c>
      <c r="B37" s="26">
        <f t="shared" si="6"/>
        <v>73.042234051596481</v>
      </c>
      <c r="C37" s="1">
        <f t="shared" si="7"/>
        <v>0.7</v>
      </c>
      <c r="D37" s="2">
        <f t="shared" si="7"/>
        <v>0.25</v>
      </c>
      <c r="E37" s="26">
        <f t="shared" si="0"/>
        <v>16.434502661609208</v>
      </c>
      <c r="F37" s="26">
        <f t="shared" si="1"/>
        <v>11.576242155844801</v>
      </c>
      <c r="H37">
        <v>5</v>
      </c>
      <c r="I37" s="26">
        <f t="shared" si="8"/>
        <v>36.52111702579824</v>
      </c>
      <c r="J37" s="1">
        <f t="shared" si="9"/>
        <v>0.7</v>
      </c>
      <c r="K37" s="2">
        <f t="shared" si="9"/>
        <v>0.25</v>
      </c>
      <c r="L37" s="26">
        <f t="shared" si="2"/>
        <v>8.2172513308046042</v>
      </c>
      <c r="M37" s="26">
        <f t="shared" si="3"/>
        <v>5.7881210779224004</v>
      </c>
      <c r="O37">
        <v>5</v>
      </c>
      <c r="P37" s="24">
        <f>P36*(1+$V$33)</f>
        <v>121.47610841409328</v>
      </c>
      <c r="Q37" s="1">
        <f t="shared" si="10"/>
        <v>0.9</v>
      </c>
      <c r="R37" s="2">
        <f t="shared" si="10"/>
        <v>0.25</v>
      </c>
      <c r="S37" s="26">
        <f t="shared" si="4"/>
        <v>9.1107081310569935</v>
      </c>
      <c r="T37" s="26">
        <f t="shared" si="5"/>
        <v>6.4174600052066886</v>
      </c>
    </row>
    <row r="38" spans="1:26" x14ac:dyDescent="0.3">
      <c r="A38">
        <v>6</v>
      </c>
      <c r="B38" s="26">
        <f>B37*(1+C6)</f>
        <v>76.146528998789336</v>
      </c>
      <c r="C38" s="46">
        <f>$C$6/$C$22</f>
        <v>0.58539944903581265</v>
      </c>
      <c r="D38" s="2">
        <f t="shared" si="7"/>
        <v>0.25</v>
      </c>
      <c r="E38" s="26">
        <f>B38*(1-C38)*(1-D38)</f>
        <v>23.677794657681396</v>
      </c>
      <c r="H38">
        <v>6</v>
      </c>
      <c r="I38" s="27">
        <f>I37*(1+C6)</f>
        <v>38.073264499394668</v>
      </c>
      <c r="J38" s="46">
        <f>$C$6/$C$22</f>
        <v>0.58539944903581265</v>
      </c>
      <c r="K38" s="2">
        <f t="shared" si="9"/>
        <v>0.25</v>
      </c>
      <c r="L38" s="26">
        <f>I38*(1-J38)*(1-K38)</f>
        <v>11.838897328840698</v>
      </c>
      <c r="O38">
        <v>6</v>
      </c>
      <c r="P38" s="24">
        <f>P37*(1+C6)</f>
        <v>126.63884302169224</v>
      </c>
      <c r="Q38" s="46">
        <f>+C6/C22</f>
        <v>0.58539944903581265</v>
      </c>
      <c r="R38" s="2">
        <f>+R37</f>
        <v>0.25</v>
      </c>
      <c r="S38" s="26">
        <f>P38*(1-Q38)*(1-R38)</f>
        <v>39.378400567695621</v>
      </c>
    </row>
    <row r="39" spans="1:26" x14ac:dyDescent="0.3">
      <c r="A39" t="s">
        <v>38</v>
      </c>
      <c r="B39" s="28">
        <f>E38/(C22-C6)</f>
        <v>786.63769626848466</v>
      </c>
      <c r="H39" t="s">
        <v>38</v>
      </c>
      <c r="I39" s="27">
        <f>L38/(C22-C6)</f>
        <v>393.31884813424233</v>
      </c>
      <c r="O39" t="s">
        <v>38</v>
      </c>
      <c r="P39" s="27">
        <f>S38/(C22-C6)</f>
        <v>1308.2525105546715</v>
      </c>
    </row>
    <row r="40" spans="1:26" x14ac:dyDescent="0.3">
      <c r="B40" s="28"/>
    </row>
    <row r="41" spans="1:26" x14ac:dyDescent="0.3">
      <c r="A41" t="s">
        <v>39</v>
      </c>
      <c r="B41" s="29">
        <f>SUM(F33:F37)</f>
        <v>57.224996035379512</v>
      </c>
      <c r="H41" t="s">
        <v>39</v>
      </c>
      <c r="I41" s="29">
        <f>SUM(M33:M37)</f>
        <v>28.612498017689756</v>
      </c>
      <c r="O41" t="s">
        <v>39</v>
      </c>
      <c r="P41" s="28">
        <f>SUM(T33:T37)</f>
        <v>30.460613638180252</v>
      </c>
      <c r="S41" t="s">
        <v>51</v>
      </c>
      <c r="T41" s="28">
        <f>P43</f>
        <v>951.97604827013231</v>
      </c>
      <c r="U41" s="28"/>
    </row>
    <row r="42" spans="1:26" ht="15" thickBot="1" x14ac:dyDescent="0.35">
      <c r="A42" t="s">
        <v>40</v>
      </c>
      <c r="B42" s="30">
        <f>B39/(1+C22)^5</f>
        <v>554.09699024188251</v>
      </c>
      <c r="D42" s="25"/>
      <c r="E42" s="26"/>
      <c r="F42" s="26"/>
      <c r="H42" t="s">
        <v>40</v>
      </c>
      <c r="I42" s="28">
        <f>I39/(1+C22)^5</f>
        <v>277.04849512094125</v>
      </c>
      <c r="O42" t="s">
        <v>40</v>
      </c>
      <c r="P42" s="28">
        <f>P39/(1+C22)^5</f>
        <v>921.51543463195208</v>
      </c>
      <c r="S42" t="s">
        <v>32</v>
      </c>
      <c r="T42" s="28">
        <f>+B43+I43</f>
        <v>916.98297941589294</v>
      </c>
      <c r="U42" s="28"/>
      <c r="V42" s="12"/>
    </row>
    <row r="43" spans="1:26" ht="15" thickBot="1" x14ac:dyDescent="0.35">
      <c r="A43" t="s">
        <v>0</v>
      </c>
      <c r="B43" s="28">
        <f>SUM(B41:B42)</f>
        <v>611.321986277262</v>
      </c>
      <c r="H43" t="s">
        <v>0</v>
      </c>
      <c r="I43" s="28">
        <f>SUM(I41:I42)</f>
        <v>305.660993138631</v>
      </c>
      <c r="O43" t="s">
        <v>0</v>
      </c>
      <c r="P43" s="36">
        <f>P41+P42</f>
        <v>951.97604827013231</v>
      </c>
      <c r="S43" t="s">
        <v>52</v>
      </c>
      <c r="T43" s="36">
        <f>T41-T42</f>
        <v>34.993068854239368</v>
      </c>
      <c r="U43" s="28" t="s">
        <v>52</v>
      </c>
    </row>
    <row r="45" spans="1:26" x14ac:dyDescent="0.3">
      <c r="B45" s="14"/>
      <c r="C45" s="14"/>
      <c r="D45" s="14"/>
      <c r="E45" s="14"/>
      <c r="G45" s="14"/>
      <c r="H45" s="14"/>
      <c r="I45" s="14"/>
      <c r="J45" s="14"/>
      <c r="L45" s="14"/>
      <c r="M45" s="14"/>
      <c r="N45" s="14"/>
      <c r="O45" s="14"/>
    </row>
    <row r="46" spans="1:26" x14ac:dyDescent="0.3">
      <c r="C46" s="49"/>
      <c r="D46" s="49"/>
      <c r="E46" s="49"/>
      <c r="F46" s="49"/>
      <c r="G46" s="49"/>
      <c r="H46" s="49"/>
      <c r="I46" s="49"/>
      <c r="J46" s="49"/>
      <c r="K46" s="49"/>
      <c r="L46" s="49"/>
      <c r="M46" s="49"/>
      <c r="N46" s="49"/>
    </row>
    <row r="47" spans="1:26" x14ac:dyDescent="0.3">
      <c r="B47" s="17"/>
      <c r="C47" s="50"/>
      <c r="D47" s="50"/>
      <c r="E47" s="50"/>
      <c r="F47" s="50"/>
      <c r="G47" s="50"/>
      <c r="H47" s="50"/>
      <c r="I47" s="50"/>
      <c r="J47" s="50"/>
      <c r="K47" s="50"/>
      <c r="L47" s="50"/>
      <c r="M47" s="50"/>
      <c r="N47" s="50"/>
    </row>
    <row r="48" spans="1:26" x14ac:dyDescent="0.3">
      <c r="B48" s="17"/>
      <c r="C48" s="50"/>
      <c r="D48" s="50"/>
      <c r="E48" s="50"/>
      <c r="F48" s="50"/>
      <c r="G48" s="50"/>
      <c r="H48" s="50"/>
      <c r="I48" s="50"/>
      <c r="J48" s="50"/>
      <c r="K48" s="50"/>
      <c r="L48" s="50"/>
      <c r="M48" s="50"/>
      <c r="N48" s="50"/>
    </row>
    <row r="49" spans="2:14" x14ac:dyDescent="0.3">
      <c r="B49" s="17"/>
      <c r="C49" s="50"/>
      <c r="D49" s="50"/>
      <c r="E49" s="50"/>
      <c r="F49" s="50"/>
      <c r="G49" s="50"/>
      <c r="H49" s="50"/>
      <c r="I49" s="50"/>
      <c r="J49" s="50"/>
      <c r="K49" s="50"/>
      <c r="L49" s="50"/>
      <c r="M49" s="50"/>
      <c r="N49" s="50"/>
    </row>
    <row r="50" spans="2:14" x14ac:dyDescent="0.3">
      <c r="B50" s="17"/>
      <c r="C50" s="50"/>
      <c r="D50" s="50"/>
      <c r="E50" s="50"/>
      <c r="F50" s="50"/>
      <c r="G50" s="50"/>
      <c r="H50" s="50"/>
      <c r="I50" s="50"/>
      <c r="J50" s="50"/>
      <c r="K50" s="50"/>
      <c r="L50" s="50"/>
      <c r="M50" s="50"/>
      <c r="N50" s="50"/>
    </row>
    <row r="51" spans="2:14" x14ac:dyDescent="0.3">
      <c r="B51" s="17"/>
      <c r="C51" s="50"/>
      <c r="D51" s="50"/>
      <c r="E51" s="50"/>
      <c r="F51" s="50"/>
      <c r="G51" s="50"/>
      <c r="H51" s="50"/>
      <c r="I51" s="50"/>
      <c r="J51" s="50"/>
      <c r="K51" s="50"/>
      <c r="L51" s="50"/>
      <c r="M51" s="50"/>
      <c r="N51" s="50"/>
    </row>
    <row r="52" spans="2:14" x14ac:dyDescent="0.3">
      <c r="B52" s="17"/>
      <c r="C52" s="50"/>
      <c r="D52" s="50"/>
      <c r="E52" s="50"/>
      <c r="F52" s="50"/>
      <c r="G52" s="50"/>
      <c r="H52" s="50"/>
      <c r="I52" s="50"/>
      <c r="J52" s="50"/>
      <c r="K52" s="50"/>
      <c r="L52" s="50"/>
      <c r="M52" s="50"/>
      <c r="N52" s="50"/>
    </row>
    <row r="53" spans="2:14" x14ac:dyDescent="0.3">
      <c r="B53" s="17"/>
      <c r="C53" s="50"/>
      <c r="D53" s="50"/>
      <c r="E53" s="50"/>
      <c r="F53" s="50"/>
      <c r="G53" s="50"/>
      <c r="H53" s="50"/>
      <c r="I53" s="50"/>
      <c r="J53" s="50"/>
      <c r="K53" s="50"/>
      <c r="L53" s="50"/>
      <c r="M53" s="50"/>
      <c r="N53" s="50"/>
    </row>
    <row r="54" spans="2:14" x14ac:dyDescent="0.3">
      <c r="B54" s="17"/>
      <c r="C54" s="50"/>
      <c r="D54" s="50"/>
      <c r="E54" s="50"/>
      <c r="F54" s="50"/>
      <c r="G54" s="50"/>
      <c r="H54" s="50"/>
      <c r="I54" s="50"/>
      <c r="J54" s="50"/>
      <c r="K54" s="50"/>
      <c r="L54" s="50"/>
      <c r="M54" s="50"/>
      <c r="N54" s="50"/>
    </row>
    <row r="55" spans="2:14" x14ac:dyDescent="0.3">
      <c r="B55" s="17"/>
      <c r="C55" s="50"/>
      <c r="D55" s="50"/>
      <c r="E55" s="50"/>
      <c r="F55" s="50"/>
      <c r="G55" s="50"/>
      <c r="H55" s="50"/>
      <c r="I55" s="50"/>
      <c r="J55" s="50"/>
      <c r="K55" s="50"/>
      <c r="L55" s="50"/>
      <c r="M55" s="50"/>
      <c r="N55" s="50"/>
    </row>
    <row r="56" spans="2:14" x14ac:dyDescent="0.3">
      <c r="B56" s="17"/>
      <c r="C56" s="50"/>
      <c r="D56" s="50"/>
      <c r="E56" s="50"/>
      <c r="F56" s="50"/>
      <c r="G56" s="50"/>
      <c r="H56" s="50"/>
      <c r="I56" s="50"/>
      <c r="J56" s="50"/>
      <c r="K56" s="50"/>
      <c r="L56" s="50"/>
      <c r="M56" s="50"/>
      <c r="N56" s="50"/>
    </row>
    <row r="57" spans="2:14" x14ac:dyDescent="0.3">
      <c r="B57" s="17"/>
      <c r="C57" s="50"/>
      <c r="D57" s="50"/>
      <c r="E57" s="50"/>
      <c r="F57" s="50"/>
      <c r="G57" s="50"/>
      <c r="H57" s="50"/>
      <c r="I57" s="50"/>
      <c r="J57" s="50"/>
      <c r="K57" s="50"/>
      <c r="L57" s="50"/>
      <c r="M57" s="50"/>
      <c r="N57" s="50"/>
    </row>
    <row r="58" spans="2:14" x14ac:dyDescent="0.3">
      <c r="B58" s="17"/>
      <c r="C58" s="50"/>
      <c r="D58" s="50"/>
      <c r="E58" s="50"/>
      <c r="F58" s="50"/>
      <c r="G58" s="50"/>
      <c r="H58" s="50"/>
      <c r="I58" s="50"/>
      <c r="J58" s="50"/>
      <c r="K58" s="50"/>
      <c r="L58" s="50"/>
      <c r="M58" s="50"/>
      <c r="N58" s="50"/>
    </row>
    <row r="59" spans="2:14" x14ac:dyDescent="0.3">
      <c r="B59" s="49"/>
      <c r="C59" s="50"/>
      <c r="D59" s="50"/>
      <c r="E59" s="50"/>
      <c r="F59" s="50"/>
      <c r="G59" s="50"/>
      <c r="H59" s="50"/>
      <c r="I59" s="50"/>
      <c r="J59" s="50"/>
      <c r="K59" s="50"/>
      <c r="L59" s="50"/>
      <c r="M59" s="50"/>
      <c r="N59" s="50"/>
    </row>
    <row r="62" spans="2:14" x14ac:dyDescent="0.3">
      <c r="B62" s="17"/>
      <c r="D62" s="50"/>
      <c r="E62" s="50"/>
      <c r="F62" s="50"/>
      <c r="G62" s="50"/>
      <c r="H62" s="50"/>
      <c r="I62" s="50"/>
      <c r="J62" s="50"/>
      <c r="K62" s="50"/>
      <c r="L62" s="50"/>
      <c r="M62" s="50"/>
      <c r="N62" s="50"/>
    </row>
    <row r="63" spans="2:14" x14ac:dyDescent="0.3">
      <c r="B63" s="17"/>
      <c r="D63" s="50"/>
      <c r="E63" s="50"/>
      <c r="F63" s="50"/>
      <c r="G63" s="50"/>
      <c r="H63" s="50"/>
      <c r="I63" s="50"/>
      <c r="J63" s="50"/>
      <c r="K63" s="50"/>
      <c r="L63" s="50"/>
      <c r="M63" s="50"/>
      <c r="N63" s="50"/>
    </row>
    <row r="64" spans="2:14" x14ac:dyDescent="0.3">
      <c r="B64" s="17"/>
      <c r="D64" s="50"/>
      <c r="E64" s="50"/>
      <c r="F64" s="50"/>
      <c r="G64" s="50"/>
      <c r="H64" s="50"/>
      <c r="I64" s="50"/>
      <c r="J64" s="50"/>
      <c r="K64" s="50"/>
      <c r="L64" s="50"/>
      <c r="M64" s="50"/>
      <c r="N64" s="50"/>
    </row>
    <row r="65" spans="2:14" x14ac:dyDescent="0.3">
      <c r="B65" s="17"/>
      <c r="D65" s="50"/>
      <c r="E65" s="50"/>
      <c r="F65" s="50"/>
      <c r="G65" s="50"/>
      <c r="H65" s="50"/>
      <c r="I65" s="50"/>
      <c r="J65" s="50"/>
      <c r="K65" s="50"/>
      <c r="L65" s="50"/>
      <c r="M65" s="50"/>
      <c r="N65" s="50"/>
    </row>
    <row r="66" spans="2:14" x14ac:dyDescent="0.3">
      <c r="B66" s="17"/>
      <c r="D66" s="50"/>
      <c r="E66" s="50"/>
      <c r="F66" s="50"/>
      <c r="G66" s="50"/>
      <c r="H66" s="50"/>
      <c r="I66" s="50"/>
      <c r="J66" s="50"/>
      <c r="K66" s="50"/>
      <c r="L66" s="50"/>
      <c r="M66" s="50"/>
      <c r="N66" s="50"/>
    </row>
    <row r="67" spans="2:14" x14ac:dyDescent="0.3">
      <c r="B67" s="17"/>
      <c r="D67" s="50"/>
      <c r="E67" s="50"/>
      <c r="F67" s="50"/>
      <c r="G67" s="50"/>
      <c r="H67" s="50"/>
      <c r="I67" s="50"/>
      <c r="J67" s="50"/>
      <c r="K67" s="50"/>
      <c r="L67" s="50"/>
      <c r="M67" s="50"/>
      <c r="N67" s="50"/>
    </row>
    <row r="68" spans="2:14" x14ac:dyDescent="0.3">
      <c r="B68" s="17"/>
      <c r="D68" s="50"/>
      <c r="E68" s="50"/>
      <c r="F68" s="50"/>
      <c r="G68" s="50"/>
      <c r="H68" s="50"/>
      <c r="I68" s="50"/>
      <c r="J68" s="50"/>
      <c r="K68" s="50"/>
      <c r="L68" s="50"/>
      <c r="M68" s="50"/>
      <c r="N68" s="50"/>
    </row>
    <row r="69" spans="2:14" x14ac:dyDescent="0.3">
      <c r="B69" s="17"/>
      <c r="D69" s="50"/>
      <c r="E69" s="50"/>
      <c r="F69" s="50"/>
      <c r="G69" s="50"/>
      <c r="H69" s="50"/>
      <c r="I69" s="50"/>
      <c r="J69" s="50"/>
      <c r="K69" s="50"/>
      <c r="L69" s="50"/>
      <c r="M69" s="50"/>
      <c r="N69" s="50"/>
    </row>
    <row r="70" spans="2:14" x14ac:dyDescent="0.3">
      <c r="B70" s="17"/>
      <c r="D70" s="50"/>
      <c r="E70" s="50"/>
      <c r="F70" s="50"/>
      <c r="G70" s="50"/>
      <c r="H70" s="50"/>
      <c r="I70" s="50"/>
      <c r="J70" s="50"/>
      <c r="K70" s="50"/>
      <c r="L70" s="50"/>
      <c r="M70" s="50"/>
      <c r="N70" s="50"/>
    </row>
    <row r="71" spans="2:14" x14ac:dyDescent="0.3">
      <c r="B71" s="17"/>
      <c r="D71" s="50"/>
      <c r="E71" s="50"/>
      <c r="F71" s="50"/>
      <c r="G71" s="50"/>
      <c r="H71" s="50"/>
      <c r="I71" s="50"/>
      <c r="J71" s="50"/>
      <c r="K71" s="50"/>
      <c r="L71" s="50"/>
      <c r="M71" s="50"/>
      <c r="N71" s="50"/>
    </row>
    <row r="72" spans="2:14" x14ac:dyDescent="0.3">
      <c r="B72" s="17"/>
      <c r="D72" s="50"/>
      <c r="E72" s="50"/>
      <c r="F72" s="50"/>
      <c r="G72" s="50"/>
      <c r="H72" s="50"/>
      <c r="I72" s="50"/>
      <c r="J72" s="50"/>
    </row>
    <row r="73" spans="2:14" x14ac:dyDescent="0.3">
      <c r="B73" s="17"/>
      <c r="D73" s="50"/>
      <c r="E73" s="50"/>
      <c r="F73" s="50"/>
      <c r="G73" s="50"/>
      <c r="H73" s="50"/>
      <c r="I73" s="50"/>
      <c r="J73" s="50"/>
    </row>
    <row r="74" spans="2:14" x14ac:dyDescent="0.3">
      <c r="B74" s="49"/>
      <c r="I74" s="9"/>
    </row>
    <row r="75" spans="2:14" x14ac:dyDescent="0.3">
      <c r="B75" s="49"/>
      <c r="C75" s="51"/>
      <c r="D75" s="51"/>
      <c r="E75" s="51"/>
      <c r="F75" s="51"/>
      <c r="G75" s="51"/>
      <c r="H75" s="51"/>
      <c r="I75" s="51"/>
      <c r="J75" s="51"/>
      <c r="K75" s="51"/>
      <c r="L75" s="51"/>
      <c r="M75" s="51"/>
      <c r="N75" s="51"/>
    </row>
    <row r="76" spans="2:14" x14ac:dyDescent="0.3">
      <c r="B76" s="49"/>
      <c r="I76" s="9"/>
    </row>
    <row r="77" spans="2:14" x14ac:dyDescent="0.3">
      <c r="B77" s="17"/>
      <c r="C77" s="51"/>
      <c r="D77" s="51"/>
      <c r="E77" s="51"/>
      <c r="F77" s="51"/>
      <c r="G77" s="51"/>
      <c r="H77" s="51"/>
      <c r="I77" s="51"/>
      <c r="J77" s="51"/>
      <c r="K77" s="51"/>
      <c r="L77" s="51"/>
      <c r="M77" s="51"/>
      <c r="N77" s="51"/>
    </row>
    <row r="78" spans="2:14" x14ac:dyDescent="0.3">
      <c r="B78" s="49"/>
    </row>
    <row r="79" spans="2:14" x14ac:dyDescent="0.3">
      <c r="C79" s="2"/>
    </row>
    <row r="80" spans="2:14" x14ac:dyDescent="0.3">
      <c r="C80" s="2"/>
      <c r="D80" s="2"/>
      <c r="E80" s="2"/>
      <c r="G80" s="2"/>
      <c r="H80" s="2"/>
      <c r="I80" s="9"/>
    </row>
    <row r="81" spans="3:11" x14ac:dyDescent="0.3">
      <c r="C81" s="2"/>
      <c r="D81" s="2"/>
      <c r="E81" s="2"/>
      <c r="H81" s="2"/>
      <c r="I81" s="2"/>
      <c r="K81" s="12"/>
    </row>
    <row r="82" spans="3:11" x14ac:dyDescent="0.3">
      <c r="C82" s="2"/>
      <c r="D82" s="2"/>
      <c r="E82" s="2"/>
      <c r="G82" s="2"/>
      <c r="H82" s="2"/>
      <c r="I82" s="2"/>
    </row>
    <row r="83" spans="3:11" x14ac:dyDescent="0.3">
      <c r="C83" s="2"/>
      <c r="D83" s="2"/>
      <c r="E83" s="2"/>
      <c r="G83" s="2"/>
      <c r="H83" s="2"/>
    </row>
    <row r="84" spans="3:11" x14ac:dyDescent="0.3">
      <c r="C84" s="52"/>
      <c r="D84" s="42"/>
      <c r="E84" s="2"/>
      <c r="G84" s="52"/>
      <c r="H84" s="42"/>
    </row>
    <row r="85" spans="3:11" x14ac:dyDescent="0.3">
      <c r="C85" s="52"/>
      <c r="D85" s="42"/>
      <c r="E85" s="2"/>
      <c r="G85" s="52"/>
      <c r="H85" s="42"/>
    </row>
    <row r="86" spans="3:11" x14ac:dyDescent="0.3">
      <c r="C86" s="52"/>
      <c r="D86" s="42"/>
      <c r="E86" s="2"/>
      <c r="G86" s="52"/>
      <c r="H86" s="42"/>
    </row>
    <row r="87" spans="3:11" x14ac:dyDescent="0.3">
      <c r="C87" s="52"/>
      <c r="D87" s="42"/>
      <c r="E87" s="2"/>
      <c r="G87" s="52"/>
      <c r="H87" s="42"/>
    </row>
    <row r="88" spans="3:11" x14ac:dyDescent="0.3">
      <c r="C88" s="52"/>
      <c r="D88" s="42"/>
      <c r="E88" s="2"/>
      <c r="G88" s="52"/>
      <c r="H88" s="42"/>
    </row>
    <row r="89" spans="3:11" x14ac:dyDescent="0.3">
      <c r="C89" s="52"/>
      <c r="D89" s="42"/>
      <c r="E89" s="2"/>
      <c r="G89" s="52"/>
      <c r="H89" s="42"/>
    </row>
    <row r="90" spans="3:11" x14ac:dyDescent="0.3">
      <c r="C90" s="52"/>
      <c r="D90" s="42"/>
      <c r="E90" s="2"/>
      <c r="G90" s="52"/>
      <c r="H90" s="42"/>
    </row>
    <row r="91" spans="3:11" x14ac:dyDescent="0.3">
      <c r="C91" s="52"/>
      <c r="D91" s="42"/>
      <c r="E91" s="2"/>
      <c r="G91" s="52"/>
      <c r="H91" s="42"/>
    </row>
    <row r="92" spans="3:11" x14ac:dyDescent="0.3">
      <c r="C92" s="52"/>
      <c r="D92" s="42"/>
      <c r="E92" s="2"/>
      <c r="G92" s="52"/>
      <c r="H92" s="42"/>
    </row>
    <row r="93" spans="3:11" x14ac:dyDescent="0.3">
      <c r="C93" s="52"/>
      <c r="D93" s="42"/>
      <c r="E93" s="2"/>
      <c r="G93" s="52"/>
      <c r="H93" s="42"/>
    </row>
    <row r="94" spans="3:11" x14ac:dyDescent="0.3">
      <c r="C94" s="52"/>
      <c r="D94" s="42"/>
      <c r="E94" s="2"/>
      <c r="G94" s="52"/>
      <c r="H94" s="42"/>
    </row>
    <row r="95" spans="3:11" x14ac:dyDescent="0.3">
      <c r="C95" s="52"/>
      <c r="D95" s="42"/>
      <c r="E95" s="2"/>
      <c r="G95" s="52"/>
      <c r="H95" s="42"/>
    </row>
    <row r="96" spans="3:11" x14ac:dyDescent="0.3">
      <c r="C96" s="2"/>
      <c r="D96" s="2"/>
      <c r="E96" s="2"/>
    </row>
    <row r="97" spans="2:9" x14ac:dyDescent="0.3">
      <c r="C97" s="2"/>
      <c r="D97" s="2"/>
      <c r="E97" s="2"/>
      <c r="G97" s="2"/>
      <c r="H97" s="2"/>
      <c r="I97" s="2"/>
    </row>
    <row r="98" spans="2:9" x14ac:dyDescent="0.3">
      <c r="B98" s="2"/>
      <c r="C98" s="2"/>
      <c r="D98" s="2"/>
      <c r="E98" s="9"/>
      <c r="G98" s="2"/>
      <c r="H98" s="2"/>
      <c r="I98" s="9"/>
    </row>
    <row r="99" spans="2:9" x14ac:dyDescent="0.3">
      <c r="B99" s="49"/>
      <c r="C99" s="53"/>
      <c r="D99" s="53"/>
      <c r="E99" s="9"/>
      <c r="G99" s="53"/>
      <c r="H99" s="53"/>
      <c r="I99" s="9"/>
    </row>
    <row r="100" spans="2:9" x14ac:dyDescent="0.3">
      <c r="B100" s="49"/>
      <c r="C100" s="53"/>
      <c r="D100" s="53"/>
      <c r="E100" s="9"/>
      <c r="G100" s="53"/>
      <c r="H100" s="53"/>
      <c r="I100" s="9"/>
    </row>
    <row r="101" spans="2:9" x14ac:dyDescent="0.3">
      <c r="B101" s="49"/>
      <c r="C101" s="53"/>
      <c r="D101" s="53"/>
      <c r="E101" s="9"/>
      <c r="G101" s="53"/>
      <c r="H101" s="53"/>
      <c r="I101" s="9"/>
    </row>
    <row r="102" spans="2:9" x14ac:dyDescent="0.3">
      <c r="B102" s="49"/>
      <c r="C102" s="53"/>
      <c r="D102" s="53"/>
      <c r="E102" s="9"/>
      <c r="G102" s="53"/>
      <c r="H102" s="53"/>
      <c r="I102" s="9"/>
    </row>
    <row r="103" spans="2:9" x14ac:dyDescent="0.3">
      <c r="B103" s="49"/>
      <c r="C103" s="53"/>
      <c r="D103" s="53"/>
      <c r="E103" s="9"/>
      <c r="G103" s="53"/>
      <c r="H103" s="53"/>
      <c r="I103" s="9"/>
    </row>
    <row r="104" spans="2:9" x14ac:dyDescent="0.3">
      <c r="B104" s="49"/>
      <c r="C104" s="53"/>
      <c r="D104" s="53"/>
      <c r="E104" s="9"/>
      <c r="G104" s="53"/>
      <c r="H104" s="53"/>
      <c r="I104" s="9"/>
    </row>
    <row r="105" spans="2:9" x14ac:dyDescent="0.3">
      <c r="B105" s="49"/>
      <c r="C105" s="53"/>
      <c r="D105" s="53"/>
      <c r="E105" s="9"/>
      <c r="G105" s="53"/>
      <c r="H105" s="53"/>
      <c r="I105" s="9"/>
    </row>
    <row r="106" spans="2:9" x14ac:dyDescent="0.3">
      <c r="B106" s="49"/>
      <c r="C106" s="53"/>
      <c r="D106" s="53"/>
      <c r="E106" s="9"/>
      <c r="G106" s="53"/>
      <c r="H106" s="53"/>
      <c r="I106" s="9"/>
    </row>
    <row r="107" spans="2:9" x14ac:dyDescent="0.3">
      <c r="B107" s="49"/>
      <c r="C107" s="53"/>
      <c r="D107" s="53"/>
      <c r="E107" s="9"/>
      <c r="G107" s="53"/>
      <c r="H107" s="53"/>
      <c r="I107" s="9"/>
    </row>
    <row r="108" spans="2:9" x14ac:dyDescent="0.3">
      <c r="B108" s="49"/>
      <c r="C108" s="53"/>
      <c r="D108" s="53"/>
      <c r="E108" s="9"/>
      <c r="G108" s="53"/>
      <c r="H108" s="53"/>
      <c r="I108" s="9"/>
    </row>
    <row r="109" spans="2:9" x14ac:dyDescent="0.3">
      <c r="B109" s="49"/>
      <c r="C109" s="53"/>
      <c r="D109" s="53"/>
      <c r="E109" s="9"/>
      <c r="G109" s="53"/>
      <c r="H109" s="53"/>
      <c r="I109" s="9"/>
    </row>
    <row r="110" spans="2:9" x14ac:dyDescent="0.3">
      <c r="B110" s="49"/>
      <c r="C110" s="53"/>
      <c r="D110" s="53"/>
      <c r="E110" s="9"/>
      <c r="G110" s="53"/>
      <c r="H110" s="53"/>
      <c r="I110" s="9"/>
    </row>
    <row r="111" spans="2:9" x14ac:dyDescent="0.3">
      <c r="C111" s="2"/>
      <c r="D111" s="2"/>
      <c r="E111" s="9"/>
      <c r="G111" s="2"/>
      <c r="H111" s="2"/>
      <c r="I111" s="9"/>
    </row>
    <row r="112" spans="2:9" x14ac:dyDescent="0.3">
      <c r="C112" s="2"/>
      <c r="D112" s="2"/>
      <c r="E112" s="54"/>
      <c r="G112" s="2"/>
      <c r="H112" s="2"/>
      <c r="I112" s="54"/>
    </row>
    <row r="113" spans="2:17" x14ac:dyDescent="0.3">
      <c r="C113" s="2"/>
      <c r="D113" s="2"/>
      <c r="E113" s="2"/>
      <c r="G113" s="2"/>
      <c r="H113" s="2"/>
      <c r="I113" s="9"/>
    </row>
    <row r="114" spans="2:17" x14ac:dyDescent="0.3">
      <c r="C114" s="2"/>
      <c r="D114" s="2"/>
      <c r="E114" s="2"/>
      <c r="G114" s="2"/>
      <c r="H114" s="2"/>
      <c r="I114" s="9"/>
    </row>
    <row r="115" spans="2:17" x14ac:dyDescent="0.3">
      <c r="C115" s="2"/>
      <c r="D115" s="2"/>
      <c r="E115" s="2"/>
      <c r="G115" s="2"/>
      <c r="H115" s="2"/>
      <c r="I115" s="9"/>
    </row>
    <row r="116" spans="2:17" x14ac:dyDescent="0.3">
      <c r="C116" s="2"/>
      <c r="D116" s="2"/>
      <c r="E116" s="2"/>
      <c r="G116" s="2"/>
      <c r="H116" s="2"/>
      <c r="I116" s="9"/>
      <c r="K116" s="9"/>
    </row>
    <row r="117" spans="2:17" x14ac:dyDescent="0.3">
      <c r="C117" s="2"/>
      <c r="D117" s="2"/>
      <c r="E117" s="2"/>
      <c r="G117" s="2"/>
      <c r="H117" s="2"/>
      <c r="I117" s="9"/>
      <c r="K117" s="9"/>
      <c r="P117" s="12"/>
    </row>
    <row r="118" spans="2:17" x14ac:dyDescent="0.3">
      <c r="C118" s="49"/>
      <c r="D118" s="49"/>
      <c r="E118" s="49"/>
      <c r="F118" s="49"/>
      <c r="G118" s="49"/>
      <c r="H118" s="49"/>
      <c r="I118" s="49"/>
      <c r="J118" s="49"/>
      <c r="K118" s="49"/>
      <c r="L118" s="49"/>
      <c r="M118" s="49"/>
      <c r="N118" s="49"/>
    </row>
    <row r="119" spans="2:17" x14ac:dyDescent="0.3">
      <c r="B119" s="17"/>
      <c r="C119" s="50"/>
      <c r="D119" s="50"/>
      <c r="E119" s="50"/>
      <c r="F119" s="50"/>
      <c r="G119" s="50"/>
      <c r="H119" s="50"/>
      <c r="I119" s="55"/>
      <c r="J119" s="55"/>
      <c r="K119" s="50"/>
      <c r="L119" s="50"/>
      <c r="M119" s="50"/>
      <c r="N119" s="50"/>
    </row>
    <row r="120" spans="2:17" x14ac:dyDescent="0.3">
      <c r="B120" s="17"/>
      <c r="C120" s="50"/>
      <c r="D120" s="50"/>
      <c r="E120" s="50"/>
      <c r="F120" s="50"/>
      <c r="G120" s="50"/>
      <c r="H120" s="50"/>
      <c r="I120" s="55"/>
      <c r="J120" s="55"/>
      <c r="K120" s="50"/>
      <c r="L120" s="50"/>
      <c r="M120" s="50"/>
      <c r="N120" s="50"/>
    </row>
    <row r="121" spans="2:17" x14ac:dyDescent="0.3">
      <c r="B121" s="17"/>
      <c r="C121" s="50"/>
      <c r="D121" s="50"/>
      <c r="E121" s="50"/>
      <c r="F121" s="50"/>
      <c r="G121" s="50"/>
      <c r="H121" s="50"/>
      <c r="I121" s="55"/>
      <c r="J121" s="55"/>
      <c r="K121" s="50"/>
      <c r="L121" s="50"/>
      <c r="M121" s="50"/>
      <c r="N121" s="50"/>
      <c r="O121" s="50"/>
    </row>
    <row r="122" spans="2:17" x14ac:dyDescent="0.3">
      <c r="B122" s="17"/>
      <c r="C122" s="50"/>
      <c r="D122" s="50"/>
      <c r="E122" s="50"/>
      <c r="F122" s="50"/>
      <c r="G122" s="50"/>
      <c r="H122" s="50"/>
      <c r="I122" s="55"/>
      <c r="J122" s="55"/>
      <c r="K122" s="50"/>
      <c r="L122" s="50"/>
      <c r="M122" s="50"/>
      <c r="N122" s="50"/>
      <c r="O122" s="50"/>
      <c r="P122" s="50"/>
    </row>
    <row r="123" spans="2:17" x14ac:dyDescent="0.3">
      <c r="B123" s="17"/>
      <c r="C123" s="50"/>
      <c r="D123" s="50"/>
      <c r="E123" s="50"/>
      <c r="F123" s="50"/>
      <c r="G123" s="50"/>
      <c r="H123" s="50"/>
      <c r="I123" s="55"/>
      <c r="J123" s="55"/>
      <c r="K123" s="50"/>
      <c r="L123" s="50"/>
      <c r="M123" s="50"/>
      <c r="N123" s="50"/>
      <c r="O123" s="50"/>
      <c r="P123" s="50"/>
      <c r="Q123" s="50"/>
    </row>
    <row r="124" spans="2:17" x14ac:dyDescent="0.3">
      <c r="B124" s="17"/>
      <c r="C124" s="50"/>
      <c r="D124" s="50"/>
      <c r="E124" s="50"/>
      <c r="F124" s="50"/>
      <c r="G124" s="50"/>
      <c r="H124" s="50"/>
      <c r="I124" s="55"/>
      <c r="J124" s="55"/>
      <c r="K124" s="50"/>
      <c r="L124" s="50"/>
      <c r="M124" s="50"/>
      <c r="N124" s="50"/>
    </row>
    <row r="125" spans="2:17" x14ac:dyDescent="0.3">
      <c r="B125" s="17"/>
      <c r="C125" s="50"/>
      <c r="D125" s="50"/>
      <c r="E125" s="50"/>
      <c r="F125" s="50"/>
      <c r="G125" s="50"/>
      <c r="H125" s="50"/>
      <c r="I125" s="50"/>
      <c r="J125" s="55"/>
      <c r="K125" s="50"/>
      <c r="L125" s="50"/>
      <c r="M125" s="50"/>
      <c r="N125" s="50"/>
    </row>
    <row r="126" spans="2:17" x14ac:dyDescent="0.3">
      <c r="B126" s="17"/>
      <c r="C126" s="50"/>
      <c r="D126" s="50"/>
      <c r="E126" s="50"/>
      <c r="F126" s="50"/>
      <c r="G126" s="50"/>
      <c r="H126" s="50"/>
      <c r="I126" s="50"/>
      <c r="J126" s="50"/>
      <c r="K126" s="50"/>
      <c r="L126" s="50"/>
      <c r="M126" s="50"/>
      <c r="N126" s="50"/>
    </row>
    <row r="127" spans="2:17" x14ac:dyDescent="0.3">
      <c r="B127" s="17"/>
      <c r="C127" s="50"/>
      <c r="D127" s="50"/>
      <c r="E127" s="50"/>
      <c r="F127" s="50"/>
      <c r="G127" s="50"/>
      <c r="H127" s="50"/>
      <c r="I127" s="50"/>
      <c r="J127" s="50"/>
      <c r="K127" s="50"/>
      <c r="L127" s="50"/>
      <c r="M127" s="50"/>
      <c r="N127" s="50"/>
    </row>
    <row r="128" spans="2:17" x14ac:dyDescent="0.3">
      <c r="B128" s="17"/>
      <c r="C128" s="50"/>
      <c r="D128" s="50"/>
      <c r="E128" s="50"/>
      <c r="F128" s="50"/>
      <c r="G128" s="50"/>
      <c r="H128" s="50"/>
      <c r="I128" s="50"/>
      <c r="J128" s="50"/>
      <c r="K128" s="50"/>
      <c r="L128" s="50"/>
      <c r="M128" s="50"/>
      <c r="N128" s="50"/>
    </row>
    <row r="129" spans="2:14" x14ac:dyDescent="0.3">
      <c r="B129" s="17"/>
      <c r="C129" s="50"/>
      <c r="D129" s="50"/>
      <c r="E129" s="50"/>
      <c r="F129" s="50"/>
      <c r="G129" s="50"/>
      <c r="H129" s="50"/>
      <c r="I129" s="50"/>
      <c r="J129" s="50"/>
      <c r="K129" s="50"/>
      <c r="L129" s="50"/>
      <c r="M129" s="50"/>
      <c r="N129" s="50"/>
    </row>
    <row r="130" spans="2:14" x14ac:dyDescent="0.3">
      <c r="B130" s="17"/>
      <c r="C130" s="50"/>
      <c r="D130" s="50"/>
      <c r="E130" s="50"/>
      <c r="F130" s="50"/>
      <c r="G130" s="50"/>
      <c r="H130" s="50"/>
      <c r="I130" s="50"/>
      <c r="J130" s="50"/>
      <c r="K130" s="50"/>
      <c r="L130" s="50"/>
      <c r="M130" s="50"/>
      <c r="N130" s="50"/>
    </row>
    <row r="131" spans="2:14" x14ac:dyDescent="0.3">
      <c r="C131" s="2"/>
      <c r="D131" s="2"/>
      <c r="E131" s="2"/>
      <c r="G131" s="2"/>
      <c r="H131" s="2"/>
      <c r="I131" s="9"/>
      <c r="K131" s="9"/>
    </row>
    <row r="134" spans="2:14" x14ac:dyDescent="0.3">
      <c r="B134" s="17"/>
      <c r="D134" s="50"/>
      <c r="E134" s="50"/>
      <c r="F134" s="50"/>
      <c r="G134" s="50"/>
      <c r="H134" s="50"/>
      <c r="I134" s="55"/>
      <c r="J134" s="55"/>
      <c r="K134" s="50"/>
      <c r="L134" s="50"/>
      <c r="M134" s="50"/>
      <c r="N134" s="50"/>
    </row>
    <row r="135" spans="2:14" x14ac:dyDescent="0.3">
      <c r="B135" s="17"/>
      <c r="D135" s="50"/>
      <c r="E135" s="50"/>
      <c r="F135" s="50"/>
      <c r="G135" s="50"/>
      <c r="H135" s="55"/>
      <c r="I135" s="55"/>
      <c r="J135" s="50"/>
      <c r="K135" s="50"/>
      <c r="L135" s="50"/>
      <c r="M135" s="50"/>
      <c r="N135" s="50"/>
    </row>
    <row r="136" spans="2:14" x14ac:dyDescent="0.3">
      <c r="B136" s="17"/>
      <c r="D136" s="50"/>
      <c r="E136" s="50"/>
      <c r="F136" s="50"/>
      <c r="G136" s="55"/>
      <c r="H136" s="55"/>
      <c r="I136" s="50"/>
      <c r="J136" s="50"/>
      <c r="K136" s="50"/>
      <c r="L136" s="50"/>
      <c r="M136" s="50"/>
      <c r="N136" s="50"/>
    </row>
    <row r="137" spans="2:14" x14ac:dyDescent="0.3">
      <c r="B137" s="17"/>
      <c r="D137" s="50"/>
      <c r="E137" s="50"/>
      <c r="F137" s="55"/>
      <c r="G137" s="55"/>
      <c r="H137" s="50"/>
      <c r="I137" s="50"/>
      <c r="J137" s="50"/>
      <c r="K137" s="50"/>
      <c r="L137" s="50"/>
      <c r="M137" s="50"/>
      <c r="N137" s="50"/>
    </row>
    <row r="138" spans="2:14" x14ac:dyDescent="0.3">
      <c r="B138" s="17"/>
      <c r="D138" s="50"/>
      <c r="E138" s="55"/>
      <c r="F138" s="55"/>
      <c r="G138" s="50"/>
      <c r="H138" s="50"/>
      <c r="I138" s="50"/>
      <c r="J138" s="50"/>
      <c r="K138" s="50"/>
      <c r="L138" s="50"/>
      <c r="M138" s="50"/>
      <c r="N138" s="50"/>
    </row>
    <row r="139" spans="2:14" x14ac:dyDescent="0.3">
      <c r="B139" s="17"/>
      <c r="D139" s="55"/>
      <c r="E139" s="55"/>
      <c r="F139" s="50"/>
      <c r="G139" s="50"/>
      <c r="H139" s="50"/>
      <c r="I139" s="50"/>
      <c r="J139" s="50"/>
      <c r="K139" s="50"/>
      <c r="L139" s="50"/>
      <c r="M139" s="50"/>
      <c r="N139" s="50"/>
    </row>
    <row r="140" spans="2:14" x14ac:dyDescent="0.3">
      <c r="B140" s="17"/>
      <c r="D140" s="55"/>
      <c r="E140" s="50"/>
      <c r="F140" s="50"/>
      <c r="G140" s="50"/>
      <c r="H140" s="50"/>
      <c r="I140" s="50"/>
      <c r="J140" s="50"/>
      <c r="K140" s="50"/>
      <c r="L140" s="50"/>
      <c r="M140" s="50"/>
      <c r="N140" s="50"/>
    </row>
    <row r="141" spans="2:14" x14ac:dyDescent="0.3">
      <c r="B141" s="17"/>
      <c r="D141" s="50"/>
      <c r="E141" s="50"/>
      <c r="F141" s="50"/>
      <c r="G141" s="50"/>
      <c r="H141" s="50"/>
      <c r="I141" s="50"/>
      <c r="J141" s="50"/>
      <c r="K141" s="50"/>
      <c r="L141" s="50"/>
      <c r="M141" s="50"/>
      <c r="N141" s="50"/>
    </row>
    <row r="142" spans="2:14" x14ac:dyDescent="0.3">
      <c r="B142" s="17"/>
      <c r="D142" s="50"/>
      <c r="E142" s="50"/>
      <c r="F142" s="50"/>
      <c r="G142" s="50"/>
      <c r="H142" s="50"/>
      <c r="I142" s="50"/>
      <c r="J142" s="50"/>
      <c r="K142" s="50"/>
      <c r="L142" s="50"/>
      <c r="M142" s="50"/>
      <c r="N142" s="50"/>
    </row>
    <row r="143" spans="2:14" x14ac:dyDescent="0.3">
      <c r="B143" s="17"/>
      <c r="D143" s="50"/>
      <c r="E143" s="50"/>
      <c r="F143" s="50"/>
      <c r="G143" s="50"/>
      <c r="H143" s="50"/>
      <c r="I143" s="50"/>
      <c r="J143" s="50"/>
      <c r="K143" s="50"/>
      <c r="L143" s="50"/>
      <c r="M143" s="50"/>
      <c r="N143" s="50"/>
    </row>
    <row r="144" spans="2:14" x14ac:dyDescent="0.3">
      <c r="B144" s="17"/>
      <c r="D144" s="50"/>
      <c r="E144" s="50"/>
    </row>
    <row r="145" spans="2:14" x14ac:dyDescent="0.3">
      <c r="B145" s="17"/>
      <c r="D145" s="50"/>
      <c r="I145" s="9"/>
    </row>
    <row r="147" spans="2:14" x14ac:dyDescent="0.3">
      <c r="D147" s="50"/>
      <c r="E147" s="50"/>
      <c r="F147" s="50"/>
      <c r="G147" s="50"/>
      <c r="H147" s="50"/>
      <c r="I147" s="50"/>
      <c r="J147" s="50"/>
      <c r="K147" s="50"/>
      <c r="L147" s="50"/>
      <c r="M147" s="50"/>
      <c r="N147" s="50"/>
    </row>
    <row r="148" spans="2:14" x14ac:dyDescent="0.3">
      <c r="D148" s="50"/>
      <c r="E148" s="50"/>
      <c r="F148" s="50"/>
      <c r="G148" s="50"/>
      <c r="H148" s="50"/>
      <c r="I148" s="50"/>
      <c r="J148" s="50"/>
      <c r="K148" s="50"/>
      <c r="L148" s="50"/>
      <c r="M148" s="50"/>
      <c r="N148" s="50"/>
    </row>
    <row r="150" spans="2:14" x14ac:dyDescent="0.3">
      <c r="C150" s="2"/>
      <c r="D150" s="2"/>
      <c r="E150" s="2"/>
    </row>
    <row r="151" spans="2:14" x14ac:dyDescent="0.3">
      <c r="C151" s="2"/>
      <c r="D151" s="2"/>
      <c r="E151" s="2"/>
      <c r="H151" s="12"/>
    </row>
    <row r="152" spans="2:14" x14ac:dyDescent="0.3">
      <c r="C152" s="2"/>
      <c r="D152" s="2"/>
      <c r="E152" s="2"/>
    </row>
    <row r="153" spans="2:14" x14ac:dyDescent="0.3">
      <c r="C153" s="52"/>
      <c r="D153" s="42"/>
      <c r="E153" s="2"/>
    </row>
    <row r="154" spans="2:14" x14ac:dyDescent="0.3">
      <c r="C154" s="52"/>
      <c r="D154" s="42"/>
      <c r="E154" s="2"/>
    </row>
    <row r="155" spans="2:14" x14ac:dyDescent="0.3">
      <c r="C155" s="52"/>
      <c r="D155" s="42"/>
      <c r="E155" s="2"/>
    </row>
    <row r="156" spans="2:14" x14ac:dyDescent="0.3">
      <c r="C156" s="52"/>
      <c r="D156" s="42"/>
      <c r="E156" s="2"/>
    </row>
    <row r="157" spans="2:14" x14ac:dyDescent="0.3">
      <c r="C157" s="52"/>
      <c r="D157" s="42"/>
      <c r="E157" s="2"/>
    </row>
    <row r="158" spans="2:14" x14ac:dyDescent="0.3">
      <c r="C158" s="52"/>
      <c r="D158" s="42"/>
      <c r="E158" s="2"/>
    </row>
    <row r="159" spans="2:14" x14ac:dyDescent="0.3">
      <c r="C159" s="52"/>
      <c r="D159" s="42"/>
      <c r="E159" s="2"/>
    </row>
    <row r="160" spans="2:14" x14ac:dyDescent="0.3">
      <c r="C160" s="52"/>
      <c r="D160" s="42"/>
      <c r="E160" s="2"/>
    </row>
    <row r="161" spans="2:5" x14ac:dyDescent="0.3">
      <c r="C161" s="52"/>
      <c r="D161" s="42"/>
      <c r="E161" s="2"/>
    </row>
    <row r="162" spans="2:5" x14ac:dyDescent="0.3">
      <c r="C162" s="52"/>
      <c r="D162" s="42"/>
      <c r="E162" s="2"/>
    </row>
    <row r="163" spans="2:5" x14ac:dyDescent="0.3">
      <c r="C163" s="52"/>
      <c r="D163" s="42"/>
      <c r="E163" s="2"/>
    </row>
    <row r="164" spans="2:5" x14ac:dyDescent="0.3">
      <c r="C164" s="52"/>
      <c r="D164" s="42"/>
      <c r="E164" s="2"/>
    </row>
    <row r="165" spans="2:5" x14ac:dyDescent="0.3">
      <c r="C165" s="2"/>
      <c r="D165" s="2"/>
      <c r="E165" s="2"/>
    </row>
    <row r="166" spans="2:5" x14ac:dyDescent="0.3">
      <c r="C166" s="2"/>
      <c r="D166" s="2"/>
      <c r="E166" s="2"/>
    </row>
    <row r="167" spans="2:5" x14ac:dyDescent="0.3">
      <c r="B167" s="2"/>
      <c r="C167" s="2"/>
      <c r="D167" s="2"/>
      <c r="E167" s="9"/>
    </row>
    <row r="168" spans="2:5" x14ac:dyDescent="0.3">
      <c r="B168" s="17"/>
      <c r="C168" s="49"/>
      <c r="D168" s="53"/>
      <c r="E168" s="9"/>
    </row>
    <row r="169" spans="2:5" x14ac:dyDescent="0.3">
      <c r="B169" s="17"/>
      <c r="C169" s="49"/>
      <c r="D169" s="53"/>
      <c r="E169" s="9"/>
    </row>
    <row r="170" spans="2:5" x14ac:dyDescent="0.3">
      <c r="B170" s="17"/>
      <c r="C170" s="49"/>
      <c r="D170" s="53"/>
      <c r="E170" s="9"/>
    </row>
    <row r="171" spans="2:5" x14ac:dyDescent="0.3">
      <c r="B171" s="17"/>
      <c r="C171" s="49"/>
      <c r="D171" s="53"/>
      <c r="E171" s="9"/>
    </row>
    <row r="172" spans="2:5" x14ac:dyDescent="0.3">
      <c r="B172" s="17"/>
      <c r="C172" s="49"/>
      <c r="D172" s="53"/>
      <c r="E172" s="9"/>
    </row>
    <row r="173" spans="2:5" x14ac:dyDescent="0.3">
      <c r="B173" s="17"/>
      <c r="C173" s="49"/>
      <c r="D173" s="53"/>
      <c r="E173" s="9"/>
    </row>
    <row r="174" spans="2:5" x14ac:dyDescent="0.3">
      <c r="B174" s="17"/>
      <c r="C174" s="49"/>
      <c r="D174" s="53"/>
      <c r="E174" s="9"/>
    </row>
    <row r="175" spans="2:5" x14ac:dyDescent="0.3">
      <c r="B175" s="17"/>
      <c r="C175" s="49"/>
      <c r="D175" s="53"/>
      <c r="E175" s="9"/>
    </row>
    <row r="176" spans="2:5" x14ac:dyDescent="0.3">
      <c r="B176" s="17"/>
      <c r="C176" s="49"/>
      <c r="D176" s="53"/>
      <c r="E176" s="9"/>
    </row>
    <row r="177" spans="2:5" x14ac:dyDescent="0.3">
      <c r="B177" s="17"/>
      <c r="C177" s="49"/>
      <c r="D177" s="53"/>
      <c r="E177" s="9"/>
    </row>
    <row r="178" spans="2:5" x14ac:dyDescent="0.3">
      <c r="B178" s="17"/>
      <c r="C178" s="49"/>
      <c r="D178" s="53"/>
      <c r="E178" s="9"/>
    </row>
    <row r="179" spans="2:5" x14ac:dyDescent="0.3">
      <c r="B179" s="17"/>
      <c r="C179" s="49"/>
      <c r="D179" s="53"/>
      <c r="E179" s="9"/>
    </row>
    <row r="180" spans="2:5" x14ac:dyDescent="0.3">
      <c r="C180" s="2"/>
      <c r="D180" s="2"/>
      <c r="E180" s="9"/>
    </row>
    <row r="181" spans="2:5" x14ac:dyDescent="0.3">
      <c r="C181" s="2"/>
      <c r="D181" s="6"/>
      <c r="E181" s="9"/>
    </row>
    <row r="185" spans="2:5" x14ac:dyDescent="0.3">
      <c r="D185" s="6"/>
      <c r="E185" s="9"/>
    </row>
    <row r="187" spans="2:5" x14ac:dyDescent="0.3">
      <c r="D187" s="6"/>
      <c r="E187" s="9"/>
    </row>
    <row r="189" spans="2:5" x14ac:dyDescent="0.3">
      <c r="D189" s="6"/>
      <c r="E189" s="54"/>
    </row>
  </sheetData>
  <conditionalFormatting sqref="D62:I72">
    <cfRule type="expression" dxfId="5" priority="3">
      <formula>D62=MIN(D$62:D$73)</formula>
    </cfRule>
    <cfRule type="expression" dxfId="4" priority="4">
      <formula>D62=MAX(D$62:D$73)</formula>
    </cfRule>
  </conditionalFormatting>
  <conditionalFormatting sqref="J62:J64">
    <cfRule type="expression" dxfId="3" priority="1">
      <formula>J62=MIN(J$62:J$73)</formula>
    </cfRule>
    <cfRule type="expression" dxfId="2" priority="2">
      <formula>J62=MAX(J$62:J$73)</formula>
    </cfRule>
  </conditionalFormatting>
  <conditionalFormatting sqref="J66:J72">
    <cfRule type="expression" dxfId="1" priority="13">
      <formula>J66=MIN(J$62:J$73)</formula>
    </cfRule>
    <cfRule type="expression" dxfId="0" priority="14">
      <formula>J66=MAX(J$62:J$73)</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A3263-5DBC-4AEE-A1B2-E1D0DCCE8A49}">
  <sheetPr codeName="Sheet115">
    <tabColor theme="5" tint="0.39997558519241921"/>
  </sheetPr>
  <dimension ref="A1:V61"/>
  <sheetViews>
    <sheetView zoomScale="115" zoomScaleNormal="115" workbookViewId="0"/>
  </sheetViews>
  <sheetFormatPr defaultRowHeight="14.4" x14ac:dyDescent="0.3"/>
  <cols>
    <col min="1" max="1" width="33.77734375" customWidth="1"/>
    <col min="2" max="8" width="12.77734375" customWidth="1"/>
    <col min="9" max="10" width="11.21875" customWidth="1"/>
    <col min="11" max="11" width="12" bestFit="1" customWidth="1"/>
    <col min="13" max="14" width="11.21875" customWidth="1"/>
    <col min="15" max="15" width="12" bestFit="1" customWidth="1"/>
    <col min="31" max="33" width="10" bestFit="1" customWidth="1"/>
  </cols>
  <sheetData>
    <row r="1" spans="1:2" x14ac:dyDescent="0.3">
      <c r="A1" s="7" t="s">
        <v>1</v>
      </c>
    </row>
    <row r="2" spans="1:2" x14ac:dyDescent="0.3">
      <c r="A2" s="58" t="s">
        <v>104</v>
      </c>
    </row>
    <row r="3" spans="1:2" x14ac:dyDescent="0.3">
      <c r="A3" s="58"/>
    </row>
    <row r="4" spans="1:2" x14ac:dyDescent="0.3">
      <c r="A4" t="s">
        <v>62</v>
      </c>
    </row>
    <row r="5" spans="1:2" x14ac:dyDescent="0.3">
      <c r="A5" t="s">
        <v>63</v>
      </c>
    </row>
    <row r="6" spans="1:2" x14ac:dyDescent="0.3">
      <c r="A6" t="s">
        <v>64</v>
      </c>
    </row>
    <row r="7" spans="1:2" x14ac:dyDescent="0.3">
      <c r="A7" t="s">
        <v>65</v>
      </c>
    </row>
    <row r="8" spans="1:2" x14ac:dyDescent="0.3">
      <c r="A8" t="s">
        <v>66</v>
      </c>
    </row>
    <row r="12" spans="1:2" x14ac:dyDescent="0.3">
      <c r="A12" t="s">
        <v>17</v>
      </c>
      <c r="B12" s="1">
        <v>0.25</v>
      </c>
    </row>
    <row r="13" spans="1:2" x14ac:dyDescent="0.3">
      <c r="A13" t="s">
        <v>67</v>
      </c>
      <c r="B13" s="13">
        <v>0.03</v>
      </c>
    </row>
    <row r="14" spans="1:2" x14ac:dyDescent="0.3">
      <c r="A14" t="s">
        <v>68</v>
      </c>
      <c r="B14" s="13">
        <v>0.05</v>
      </c>
    </row>
    <row r="15" spans="1:2" ht="15" thickBot="1" x14ac:dyDescent="0.35">
      <c r="A15" t="s">
        <v>69</v>
      </c>
      <c r="B15" s="4">
        <v>1.2</v>
      </c>
    </row>
    <row r="16" spans="1:2" ht="15" thickBot="1" x14ac:dyDescent="0.35">
      <c r="A16" s="12" t="s">
        <v>70</v>
      </c>
      <c r="B16" s="59"/>
    </row>
    <row r="17" spans="1:9" x14ac:dyDescent="0.3">
      <c r="A17" t="s">
        <v>71</v>
      </c>
      <c r="B17" s="13">
        <v>0.128</v>
      </c>
    </row>
    <row r="18" spans="1:9" x14ac:dyDescent="0.3">
      <c r="A18" t="s">
        <v>72</v>
      </c>
      <c r="B18" s="13">
        <v>0.03</v>
      </c>
    </row>
    <row r="21" spans="1:9" x14ac:dyDescent="0.3">
      <c r="B21" s="12" t="s">
        <v>73</v>
      </c>
      <c r="C21" s="12" t="s">
        <v>4</v>
      </c>
      <c r="D21" s="12" t="s">
        <v>5</v>
      </c>
      <c r="E21" s="12" t="s">
        <v>6</v>
      </c>
      <c r="F21" s="12" t="s">
        <v>7</v>
      </c>
      <c r="G21" s="12" t="s">
        <v>8</v>
      </c>
      <c r="H21" s="12" t="s">
        <v>74</v>
      </c>
      <c r="I21" s="12"/>
    </row>
    <row r="22" spans="1:9" x14ac:dyDescent="0.3">
      <c r="A22" s="12" t="s">
        <v>105</v>
      </c>
    </row>
    <row r="23" spans="1:9" x14ac:dyDescent="0.3">
      <c r="A23" t="s">
        <v>75</v>
      </c>
      <c r="B23" s="19">
        <v>1226.2</v>
      </c>
      <c r="C23" s="19">
        <v>1281.4000000000001</v>
      </c>
      <c r="D23" s="19">
        <v>1332.6</v>
      </c>
      <c r="E23" s="19">
        <v>1379.3</v>
      </c>
      <c r="F23" s="19">
        <v>1427.6</v>
      </c>
      <c r="G23" s="19">
        <v>1477.5</v>
      </c>
    </row>
    <row r="24" spans="1:9" x14ac:dyDescent="0.3">
      <c r="A24" t="s">
        <v>76</v>
      </c>
      <c r="B24">
        <f>+B23</f>
        <v>1226.2</v>
      </c>
      <c r="C24">
        <f t="shared" ref="C24:G24" si="0">+C23</f>
        <v>1281.4000000000001</v>
      </c>
      <c r="D24">
        <f t="shared" si="0"/>
        <v>1332.6</v>
      </c>
      <c r="E24">
        <f t="shared" si="0"/>
        <v>1379.3</v>
      </c>
      <c r="F24">
        <f t="shared" si="0"/>
        <v>1427.6</v>
      </c>
      <c r="G24">
        <f t="shared" si="0"/>
        <v>1477.5</v>
      </c>
    </row>
    <row r="26" spans="1:9" x14ac:dyDescent="0.3">
      <c r="A26" t="s">
        <v>77</v>
      </c>
      <c r="B26">
        <v>1128.0999999999999</v>
      </c>
      <c r="C26">
        <v>1178.9000000000001</v>
      </c>
      <c r="D26">
        <v>1226</v>
      </c>
      <c r="E26">
        <v>1268.9000000000001</v>
      </c>
      <c r="F26">
        <v>1313.4</v>
      </c>
      <c r="G26">
        <v>1359.3</v>
      </c>
    </row>
    <row r="27" spans="1:9" x14ac:dyDescent="0.3">
      <c r="A27" t="s">
        <v>78</v>
      </c>
      <c r="B27" s="19">
        <v>98.1</v>
      </c>
      <c r="C27" s="19">
        <v>102.5</v>
      </c>
      <c r="D27" s="19">
        <v>106.6</v>
      </c>
      <c r="E27" s="19">
        <v>110.3</v>
      </c>
      <c r="F27" s="19">
        <v>114.2</v>
      </c>
      <c r="G27" s="19">
        <v>118.2</v>
      </c>
    </row>
    <row r="28" spans="1:9" x14ac:dyDescent="0.3">
      <c r="A28" t="s">
        <v>79</v>
      </c>
      <c r="B28">
        <f>+B26+B27</f>
        <v>1226.1999999999998</v>
      </c>
      <c r="C28">
        <f t="shared" ref="C28:G28" si="1">+C26+C27</f>
        <v>1281.4000000000001</v>
      </c>
      <c r="D28">
        <f t="shared" si="1"/>
        <v>1332.6</v>
      </c>
      <c r="E28">
        <f t="shared" si="1"/>
        <v>1379.2</v>
      </c>
      <c r="F28">
        <f t="shared" si="1"/>
        <v>1427.6000000000001</v>
      </c>
      <c r="G28">
        <f t="shared" si="1"/>
        <v>1477.5</v>
      </c>
    </row>
    <row r="31" spans="1:9" x14ac:dyDescent="0.3">
      <c r="A31" s="12" t="s">
        <v>106</v>
      </c>
    </row>
    <row r="32" spans="1:9" x14ac:dyDescent="0.3">
      <c r="A32" t="s">
        <v>80</v>
      </c>
      <c r="B32">
        <v>71.599999999999994</v>
      </c>
      <c r="C32">
        <v>74.8</v>
      </c>
      <c r="D32">
        <v>78.2</v>
      </c>
      <c r="E32">
        <v>81.3</v>
      </c>
      <c r="F32">
        <v>84.1</v>
      </c>
      <c r="G32">
        <v>87.1</v>
      </c>
    </row>
    <row r="33" spans="1:22" x14ac:dyDescent="0.3">
      <c r="A33" t="s">
        <v>81</v>
      </c>
      <c r="B33" s="19">
        <v>-41.6</v>
      </c>
      <c r="C33" s="19">
        <v>-43.4</v>
      </c>
      <c r="D33" s="19">
        <v>-45.4</v>
      </c>
      <c r="E33" s="19">
        <v>-47.2</v>
      </c>
      <c r="F33" s="19">
        <v>-48.9</v>
      </c>
      <c r="G33" s="19">
        <v>-50.6</v>
      </c>
    </row>
    <row r="34" spans="1:22" x14ac:dyDescent="0.3">
      <c r="A34" t="s">
        <v>82</v>
      </c>
      <c r="B34">
        <f>+B32+B33</f>
        <v>29.999999999999993</v>
      </c>
      <c r="C34">
        <f t="shared" ref="C34:G34" si="2">+C32+C33</f>
        <v>31.4</v>
      </c>
      <c r="D34">
        <f t="shared" si="2"/>
        <v>32.800000000000004</v>
      </c>
      <c r="E34">
        <f t="shared" si="2"/>
        <v>34.099999999999994</v>
      </c>
      <c r="F34">
        <f t="shared" si="2"/>
        <v>35.199999999999996</v>
      </c>
      <c r="G34">
        <f t="shared" si="2"/>
        <v>36.499999999999993</v>
      </c>
    </row>
    <row r="36" spans="1:22" x14ac:dyDescent="0.3">
      <c r="A36" t="s">
        <v>83</v>
      </c>
      <c r="B36">
        <v>-13.5</v>
      </c>
      <c r="C36">
        <v>-13.5</v>
      </c>
      <c r="D36">
        <v>-14.1</v>
      </c>
      <c r="E36">
        <v>-14.7</v>
      </c>
      <c r="F36">
        <v>-15.2</v>
      </c>
      <c r="G36">
        <v>-15.7</v>
      </c>
    </row>
    <row r="37" spans="1:22" x14ac:dyDescent="0.3">
      <c r="A37" t="s">
        <v>84</v>
      </c>
      <c r="B37" s="19">
        <f>+B34+B36</f>
        <v>16.499999999999993</v>
      </c>
      <c r="C37" s="19">
        <f t="shared" ref="C37:G37" si="3">+C34+C36</f>
        <v>17.899999999999999</v>
      </c>
      <c r="D37" s="19">
        <f t="shared" si="3"/>
        <v>18.700000000000003</v>
      </c>
      <c r="E37" s="19">
        <f t="shared" si="3"/>
        <v>19.399999999999995</v>
      </c>
      <c r="F37" s="19">
        <f t="shared" si="3"/>
        <v>19.999999999999996</v>
      </c>
      <c r="G37" s="19">
        <f t="shared" si="3"/>
        <v>20.799999999999994</v>
      </c>
    </row>
    <row r="38" spans="1:22" x14ac:dyDescent="0.3">
      <c r="A38" t="s">
        <v>85</v>
      </c>
      <c r="B38" s="60"/>
      <c r="C38" s="60"/>
      <c r="D38" s="60"/>
      <c r="E38" s="60"/>
      <c r="F38" s="60"/>
      <c r="G38" s="60"/>
    </row>
    <row r="39" spans="1:22" x14ac:dyDescent="0.3">
      <c r="A39" t="s">
        <v>86</v>
      </c>
      <c r="B39">
        <f>+B37+B38</f>
        <v>16.499999999999993</v>
      </c>
      <c r="C39">
        <f t="shared" ref="C39:G39" si="4">+C37+C38</f>
        <v>17.899999999999999</v>
      </c>
      <c r="D39">
        <f t="shared" si="4"/>
        <v>18.700000000000003</v>
      </c>
      <c r="E39">
        <f t="shared" si="4"/>
        <v>19.399999999999995</v>
      </c>
      <c r="F39">
        <f t="shared" si="4"/>
        <v>19.999999999999996</v>
      </c>
      <c r="G39">
        <f t="shared" si="4"/>
        <v>20.799999999999994</v>
      </c>
    </row>
    <row r="42" spans="1:22" x14ac:dyDescent="0.3">
      <c r="A42" s="12" t="s">
        <v>87</v>
      </c>
    </row>
    <row r="43" spans="1:22" x14ac:dyDescent="0.3">
      <c r="A43" t="s">
        <v>86</v>
      </c>
      <c r="B43">
        <f>+B39</f>
        <v>16.499999999999993</v>
      </c>
      <c r="C43">
        <f t="shared" ref="C43:G43" si="5">+C39</f>
        <v>17.899999999999999</v>
      </c>
      <c r="D43">
        <f t="shared" si="5"/>
        <v>18.700000000000003</v>
      </c>
      <c r="E43">
        <f t="shared" si="5"/>
        <v>19.399999999999995</v>
      </c>
      <c r="F43">
        <f t="shared" si="5"/>
        <v>19.999999999999996</v>
      </c>
      <c r="G43">
        <f t="shared" si="5"/>
        <v>20.799999999999994</v>
      </c>
    </row>
    <row r="44" spans="1:22" x14ac:dyDescent="0.3">
      <c r="A44" t="s">
        <v>88</v>
      </c>
      <c r="B44">
        <v>-4.2</v>
      </c>
      <c r="C44">
        <f>+B27-C27</f>
        <v>-4.4000000000000057</v>
      </c>
      <c r="D44">
        <f t="shared" ref="D44:G44" si="6">+C27-D27</f>
        <v>-4.0999999999999943</v>
      </c>
      <c r="E44">
        <f t="shared" si="6"/>
        <v>-3.7000000000000028</v>
      </c>
      <c r="F44">
        <f t="shared" si="6"/>
        <v>-3.9000000000000057</v>
      </c>
      <c r="G44">
        <f t="shared" si="6"/>
        <v>-4</v>
      </c>
    </row>
    <row r="45" spans="1:22" x14ac:dyDescent="0.3">
      <c r="A45" t="s">
        <v>89</v>
      </c>
      <c r="B45">
        <v>0</v>
      </c>
      <c r="C45">
        <v>0</v>
      </c>
      <c r="D45">
        <v>0</v>
      </c>
      <c r="E45">
        <v>0</v>
      </c>
      <c r="F45">
        <v>0</v>
      </c>
      <c r="G45">
        <v>0</v>
      </c>
    </row>
    <row r="46" spans="1:22" x14ac:dyDescent="0.3">
      <c r="A46" s="12" t="s">
        <v>90</v>
      </c>
      <c r="B46" s="61"/>
      <c r="C46" s="61"/>
      <c r="D46" s="61"/>
      <c r="E46" s="61"/>
      <c r="F46" s="61"/>
      <c r="G46" s="61"/>
      <c r="H46" s="62"/>
      <c r="I46" s="12"/>
      <c r="J46" s="12"/>
      <c r="K46" s="12"/>
      <c r="L46" s="12"/>
      <c r="M46" s="12"/>
      <c r="N46" s="12"/>
      <c r="O46" s="12"/>
      <c r="P46" s="12"/>
      <c r="Q46" s="12"/>
      <c r="R46" s="12"/>
      <c r="S46" s="12"/>
      <c r="T46" s="12"/>
      <c r="U46" s="12"/>
      <c r="V46" s="12"/>
    </row>
    <row r="47" spans="1:22" x14ac:dyDescent="0.3">
      <c r="A47" s="12" t="s">
        <v>91</v>
      </c>
      <c r="B47" s="4"/>
      <c r="C47" s="4"/>
      <c r="D47" s="4"/>
      <c r="E47" s="4"/>
      <c r="F47" s="4"/>
      <c r="G47" s="4"/>
      <c r="H47" s="4"/>
    </row>
    <row r="48" spans="1:22" ht="15" thickBot="1" x14ac:dyDescent="0.35">
      <c r="A48" s="12" t="s">
        <v>92</v>
      </c>
      <c r="B48" s="4"/>
      <c r="C48" s="4"/>
      <c r="D48" s="4"/>
      <c r="E48" s="4"/>
      <c r="F48" s="4"/>
      <c r="G48" s="4"/>
      <c r="H48" s="4"/>
    </row>
    <row r="49" spans="1:8" ht="15" thickBot="1" x14ac:dyDescent="0.35">
      <c r="A49" s="12" t="s">
        <v>93</v>
      </c>
      <c r="B49" s="63"/>
    </row>
    <row r="51" spans="1:8" x14ac:dyDescent="0.3">
      <c r="A51" s="12" t="s">
        <v>94</v>
      </c>
    </row>
    <row r="52" spans="1:8" x14ac:dyDescent="0.3">
      <c r="A52" t="s">
        <v>95</v>
      </c>
      <c r="B52" s="8"/>
      <c r="C52" s="8">
        <f>+C23/B23-1</f>
        <v>4.5017126080574066E-2</v>
      </c>
      <c r="D52" s="8">
        <f t="shared" ref="D52:G52" si="7">+D23/C23-1</f>
        <v>3.9956297799281781E-2</v>
      </c>
      <c r="E52" s="8">
        <f t="shared" si="7"/>
        <v>3.5044274350892968E-2</v>
      </c>
      <c r="F52" s="8">
        <f t="shared" si="7"/>
        <v>3.5017762633219762E-2</v>
      </c>
      <c r="G52" s="8">
        <f t="shared" si="7"/>
        <v>3.4953768562622667E-2</v>
      </c>
      <c r="H52" s="8"/>
    </row>
    <row r="53" spans="1:8" x14ac:dyDescent="0.3">
      <c r="A53" t="s">
        <v>96</v>
      </c>
      <c r="B53" s="8">
        <f>+B32/B23</f>
        <v>5.8391779481324409E-2</v>
      </c>
      <c r="C53" s="8">
        <f>+C32/C23</f>
        <v>5.8373653816138592E-2</v>
      </c>
      <c r="D53" s="8">
        <f t="shared" ref="D53:G53" si="8">+D32/D23</f>
        <v>5.868227525138827E-2</v>
      </c>
      <c r="E53" s="8">
        <f t="shared" si="8"/>
        <v>5.8942942072065539E-2</v>
      </c>
      <c r="F53" s="8">
        <f t="shared" si="8"/>
        <v>5.8910058840011208E-2</v>
      </c>
      <c r="G53" s="8">
        <f t="shared" si="8"/>
        <v>5.8950930626057524E-2</v>
      </c>
      <c r="H53" s="8"/>
    </row>
    <row r="54" spans="1:8" x14ac:dyDescent="0.3">
      <c r="A54" t="s">
        <v>97</v>
      </c>
      <c r="B54" s="8"/>
      <c r="C54" s="8">
        <f>+C26/B26-1</f>
        <v>4.5031468841414846E-2</v>
      </c>
      <c r="D54" s="8">
        <f t="shared" ref="D54:G54" si="9">+D26/C26-1</f>
        <v>3.9952498091441191E-2</v>
      </c>
      <c r="E54" s="8">
        <f t="shared" si="9"/>
        <v>3.4991843393148425E-2</v>
      </c>
      <c r="F54" s="8">
        <f t="shared" si="9"/>
        <v>3.5069745448814027E-2</v>
      </c>
      <c r="G54" s="8">
        <f t="shared" si="9"/>
        <v>3.4947464595705746E-2</v>
      </c>
      <c r="H54" s="8"/>
    </row>
    <row r="55" spans="1:8" x14ac:dyDescent="0.3">
      <c r="A55" t="s">
        <v>98</v>
      </c>
      <c r="B55" s="8">
        <f>+B33/B26</f>
        <v>-3.6876163460686111E-2</v>
      </c>
      <c r="C55" s="8">
        <f>+C33/C26</f>
        <v>-3.6813979133090168E-2</v>
      </c>
      <c r="D55" s="8">
        <f t="shared" ref="D55:G55" si="10">+D33/D26</f>
        <v>-3.7030995106035886E-2</v>
      </c>
      <c r="E55" s="8">
        <f t="shared" si="10"/>
        <v>-3.7197572700764445E-2</v>
      </c>
      <c r="F55" s="8">
        <f t="shared" si="10"/>
        <v>-3.7231612608497028E-2</v>
      </c>
      <c r="G55" s="8">
        <f t="shared" si="10"/>
        <v>-3.7225042301184438E-2</v>
      </c>
      <c r="H55" s="8"/>
    </row>
    <row r="57" spans="1:8" x14ac:dyDescent="0.3">
      <c r="A57" t="s">
        <v>99</v>
      </c>
      <c r="B57" s="3">
        <f>-B36/B34</f>
        <v>0.45000000000000012</v>
      </c>
      <c r="C57" s="3">
        <f t="shared" ref="C57:G57" si="11">-C36/C34</f>
        <v>0.42993630573248409</v>
      </c>
      <c r="D57" s="3">
        <f t="shared" si="11"/>
        <v>0.42987804878048774</v>
      </c>
      <c r="E57" s="3">
        <f t="shared" si="11"/>
        <v>0.43108504398826986</v>
      </c>
      <c r="F57" s="3">
        <f t="shared" si="11"/>
        <v>0.43181818181818182</v>
      </c>
      <c r="G57" s="3">
        <f t="shared" si="11"/>
        <v>0.43013698630136993</v>
      </c>
    </row>
    <row r="58" spans="1:8" x14ac:dyDescent="0.3">
      <c r="A58" t="s">
        <v>17</v>
      </c>
      <c r="B58" s="3">
        <f>+B38/B37</f>
        <v>0</v>
      </c>
      <c r="C58" s="3">
        <f t="shared" ref="C58:G58" si="12">+C38/C37</f>
        <v>0</v>
      </c>
      <c r="D58" s="3">
        <f t="shared" si="12"/>
        <v>0</v>
      </c>
      <c r="E58" s="3">
        <f t="shared" si="12"/>
        <v>0</v>
      </c>
      <c r="F58" s="3">
        <f t="shared" si="12"/>
        <v>0</v>
      </c>
      <c r="G58" s="3">
        <f t="shared" si="12"/>
        <v>0</v>
      </c>
    </row>
    <row r="60" spans="1:8" x14ac:dyDescent="0.3">
      <c r="A60" t="s">
        <v>100</v>
      </c>
      <c r="B60" s="8">
        <f>+B27/B24</f>
        <v>8.0003262110585546E-2</v>
      </c>
      <c r="C60" s="8">
        <f>+C27/C24</f>
        <v>7.9990635242703292E-2</v>
      </c>
      <c r="D60" s="8">
        <f t="shared" ref="D60:G60" si="13">+D27/D24</f>
        <v>7.9993996698184008E-2</v>
      </c>
      <c r="E60" s="8">
        <f t="shared" si="13"/>
        <v>7.9968099760748201E-2</v>
      </c>
      <c r="F60" s="8">
        <f t="shared" si="13"/>
        <v>7.9994396189408803E-2</v>
      </c>
      <c r="G60" s="8">
        <f t="shared" si="13"/>
        <v>0.08</v>
      </c>
    </row>
    <row r="61" spans="1:8" x14ac:dyDescent="0.3">
      <c r="A61" t="s">
        <v>101</v>
      </c>
      <c r="B61" s="8"/>
      <c r="C61" s="8">
        <f>+C39/B27</f>
        <v>0.18246687054026503</v>
      </c>
      <c r="D61" s="8">
        <f t="shared" ref="D61:G61" si="14">+D39/C27</f>
        <v>0.18243902439024393</v>
      </c>
      <c r="E61" s="8">
        <f t="shared" si="14"/>
        <v>0.18198874296435269</v>
      </c>
      <c r="F61" s="8">
        <f t="shared" si="14"/>
        <v>0.18132366273798728</v>
      </c>
      <c r="G61" s="8">
        <f t="shared" si="14"/>
        <v>0.18213660245183882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D3277-C567-437F-B200-F72B34CE849B}">
  <sheetPr codeName="Sheet68">
    <tabColor theme="9" tint="0.59999389629810485"/>
  </sheetPr>
  <dimension ref="A1:V72"/>
  <sheetViews>
    <sheetView zoomScale="115" zoomScaleNormal="115" workbookViewId="0"/>
  </sheetViews>
  <sheetFormatPr defaultRowHeight="14.4" x14ac:dyDescent="0.3"/>
  <cols>
    <col min="1" max="1" width="33.77734375" customWidth="1"/>
    <col min="2" max="8" width="12.77734375" customWidth="1"/>
    <col min="9" max="10" width="11.21875" customWidth="1"/>
    <col min="11" max="11" width="12" bestFit="1" customWidth="1"/>
    <col min="13" max="14" width="11.21875" customWidth="1"/>
    <col min="15" max="15" width="12" bestFit="1" customWidth="1"/>
    <col min="31" max="33" width="10" bestFit="1" customWidth="1"/>
  </cols>
  <sheetData>
    <row r="1" spans="1:2" x14ac:dyDescent="0.3">
      <c r="A1" s="7" t="s">
        <v>1</v>
      </c>
    </row>
    <row r="2" spans="1:2" x14ac:dyDescent="0.3">
      <c r="A2" s="58" t="s">
        <v>104</v>
      </c>
    </row>
    <row r="3" spans="1:2" x14ac:dyDescent="0.3">
      <c r="A3" s="58"/>
    </row>
    <row r="4" spans="1:2" x14ac:dyDescent="0.3">
      <c r="A4" t="s">
        <v>62</v>
      </c>
    </row>
    <row r="5" spans="1:2" x14ac:dyDescent="0.3">
      <c r="A5" t="s">
        <v>63</v>
      </c>
    </row>
    <row r="6" spans="1:2" x14ac:dyDescent="0.3">
      <c r="A6" t="s">
        <v>64</v>
      </c>
    </row>
    <row r="7" spans="1:2" x14ac:dyDescent="0.3">
      <c r="A7" t="s">
        <v>65</v>
      </c>
    </row>
    <row r="8" spans="1:2" x14ac:dyDescent="0.3">
      <c r="A8" t="s">
        <v>66</v>
      </c>
    </row>
    <row r="12" spans="1:2" x14ac:dyDescent="0.3">
      <c r="A12" t="s">
        <v>17</v>
      </c>
      <c r="B12" s="1">
        <v>0.25</v>
      </c>
    </row>
    <row r="13" spans="1:2" x14ac:dyDescent="0.3">
      <c r="A13" t="s">
        <v>67</v>
      </c>
      <c r="B13" s="13">
        <v>0.03</v>
      </c>
    </row>
    <row r="14" spans="1:2" x14ac:dyDescent="0.3">
      <c r="A14" t="s">
        <v>68</v>
      </c>
      <c r="B14" s="13">
        <v>0.05</v>
      </c>
    </row>
    <row r="15" spans="1:2" ht="15" thickBot="1" x14ac:dyDescent="0.35">
      <c r="A15" t="s">
        <v>69</v>
      </c>
      <c r="B15" s="4">
        <v>1.2</v>
      </c>
    </row>
    <row r="16" spans="1:2" ht="15" thickBot="1" x14ac:dyDescent="0.35">
      <c r="A16" s="12" t="s">
        <v>70</v>
      </c>
      <c r="B16" s="59">
        <f>B13+B15*B14</f>
        <v>0.09</v>
      </c>
    </row>
    <row r="17" spans="1:9" x14ac:dyDescent="0.3">
      <c r="A17" t="s">
        <v>71</v>
      </c>
      <c r="B17" s="13">
        <v>0.128</v>
      </c>
    </row>
    <row r="18" spans="1:9" x14ac:dyDescent="0.3">
      <c r="A18" t="s">
        <v>72</v>
      </c>
      <c r="B18" s="13">
        <v>0.03</v>
      </c>
    </row>
    <row r="21" spans="1:9" x14ac:dyDescent="0.3">
      <c r="B21" s="12" t="s">
        <v>73</v>
      </c>
      <c r="C21" s="12" t="s">
        <v>4</v>
      </c>
      <c r="D21" s="12" t="s">
        <v>5</v>
      </c>
      <c r="E21" s="12" t="s">
        <v>6</v>
      </c>
      <c r="F21" s="12" t="s">
        <v>7</v>
      </c>
      <c r="G21" s="12" t="s">
        <v>8</v>
      </c>
      <c r="H21" s="12" t="s">
        <v>74</v>
      </c>
      <c r="I21" s="12"/>
    </row>
    <row r="22" spans="1:9" x14ac:dyDescent="0.3">
      <c r="A22" s="12" t="s">
        <v>105</v>
      </c>
    </row>
    <row r="23" spans="1:9" x14ac:dyDescent="0.3">
      <c r="A23" t="s">
        <v>75</v>
      </c>
      <c r="B23" s="19">
        <v>1226.2</v>
      </c>
      <c r="C23" s="19">
        <v>1281.4000000000001</v>
      </c>
      <c r="D23" s="19">
        <v>1332.6</v>
      </c>
      <c r="E23" s="19">
        <v>1379.3</v>
      </c>
      <c r="F23" s="19">
        <v>1427.6</v>
      </c>
      <c r="G23" s="19">
        <v>1477.5</v>
      </c>
    </row>
    <row r="24" spans="1:9" x14ac:dyDescent="0.3">
      <c r="A24" t="s">
        <v>76</v>
      </c>
      <c r="B24">
        <f>+B23</f>
        <v>1226.2</v>
      </c>
      <c r="C24">
        <f t="shared" ref="C24:G24" si="0">+C23</f>
        <v>1281.4000000000001</v>
      </c>
      <c r="D24">
        <f t="shared" si="0"/>
        <v>1332.6</v>
      </c>
      <c r="E24">
        <f t="shared" si="0"/>
        <v>1379.3</v>
      </c>
      <c r="F24">
        <f t="shared" si="0"/>
        <v>1427.6</v>
      </c>
      <c r="G24">
        <f t="shared" si="0"/>
        <v>1477.5</v>
      </c>
    </row>
    <row r="26" spans="1:9" x14ac:dyDescent="0.3">
      <c r="A26" t="s">
        <v>77</v>
      </c>
      <c r="B26">
        <v>1128.0999999999999</v>
      </c>
      <c r="C26">
        <v>1178.9000000000001</v>
      </c>
      <c r="D26">
        <v>1226</v>
      </c>
      <c r="E26">
        <v>1268.9000000000001</v>
      </c>
      <c r="F26">
        <v>1313.4</v>
      </c>
      <c r="G26">
        <v>1359.3</v>
      </c>
    </row>
    <row r="27" spans="1:9" x14ac:dyDescent="0.3">
      <c r="A27" t="s">
        <v>78</v>
      </c>
      <c r="B27" s="19">
        <v>98.1</v>
      </c>
      <c r="C27" s="19">
        <v>102.5</v>
      </c>
      <c r="D27" s="19">
        <v>106.6</v>
      </c>
      <c r="E27" s="19">
        <v>110.3</v>
      </c>
      <c r="F27" s="19">
        <v>114.2</v>
      </c>
      <c r="G27" s="19">
        <v>118.2</v>
      </c>
    </row>
    <row r="28" spans="1:9" x14ac:dyDescent="0.3">
      <c r="A28" t="s">
        <v>79</v>
      </c>
      <c r="B28">
        <f>+B26+B27</f>
        <v>1226.1999999999998</v>
      </c>
      <c r="C28">
        <f t="shared" ref="C28:G28" si="1">+C26+C27</f>
        <v>1281.4000000000001</v>
      </c>
      <c r="D28">
        <f t="shared" si="1"/>
        <v>1332.6</v>
      </c>
      <c r="E28">
        <f t="shared" si="1"/>
        <v>1379.2</v>
      </c>
      <c r="F28">
        <f t="shared" si="1"/>
        <v>1427.6000000000001</v>
      </c>
      <c r="G28">
        <f t="shared" si="1"/>
        <v>1477.5</v>
      </c>
    </row>
    <row r="31" spans="1:9" x14ac:dyDescent="0.3">
      <c r="A31" s="12" t="s">
        <v>106</v>
      </c>
    </row>
    <row r="32" spans="1:9" x14ac:dyDescent="0.3">
      <c r="A32" t="s">
        <v>80</v>
      </c>
      <c r="B32">
        <v>71.599999999999994</v>
      </c>
      <c r="C32">
        <v>74.8</v>
      </c>
      <c r="D32">
        <v>78.2</v>
      </c>
      <c r="E32">
        <v>81.3</v>
      </c>
      <c r="F32">
        <v>84.1</v>
      </c>
      <c r="G32">
        <v>87.1</v>
      </c>
    </row>
    <row r="33" spans="1:22" x14ac:dyDescent="0.3">
      <c r="A33" t="s">
        <v>81</v>
      </c>
      <c r="B33" s="19">
        <v>-41.6</v>
      </c>
      <c r="C33" s="19">
        <v>-43.4</v>
      </c>
      <c r="D33" s="19">
        <v>-45.4</v>
      </c>
      <c r="E33" s="19">
        <v>-47.2</v>
      </c>
      <c r="F33" s="19">
        <v>-48.9</v>
      </c>
      <c r="G33" s="19">
        <v>-50.6</v>
      </c>
    </row>
    <row r="34" spans="1:22" x14ac:dyDescent="0.3">
      <c r="A34" t="s">
        <v>82</v>
      </c>
      <c r="B34">
        <f>+B32+B33</f>
        <v>29.999999999999993</v>
      </c>
      <c r="C34">
        <f t="shared" ref="C34:G34" si="2">+C32+C33</f>
        <v>31.4</v>
      </c>
      <c r="D34">
        <f t="shared" si="2"/>
        <v>32.800000000000004</v>
      </c>
      <c r="E34">
        <f t="shared" si="2"/>
        <v>34.099999999999994</v>
      </c>
      <c r="F34">
        <f t="shared" si="2"/>
        <v>35.199999999999996</v>
      </c>
      <c r="G34">
        <f t="shared" si="2"/>
        <v>36.499999999999993</v>
      </c>
    </row>
    <row r="36" spans="1:22" x14ac:dyDescent="0.3">
      <c r="A36" t="s">
        <v>83</v>
      </c>
      <c r="B36">
        <v>-13.5</v>
      </c>
      <c r="C36">
        <v>-13.5</v>
      </c>
      <c r="D36">
        <v>-14.1</v>
      </c>
      <c r="E36">
        <v>-14.7</v>
      </c>
      <c r="F36">
        <v>-15.2</v>
      </c>
      <c r="G36">
        <v>-15.7</v>
      </c>
    </row>
    <row r="37" spans="1:22" x14ac:dyDescent="0.3">
      <c r="A37" t="s">
        <v>84</v>
      </c>
      <c r="B37" s="19">
        <f>+B34+B36</f>
        <v>16.499999999999993</v>
      </c>
      <c r="C37" s="19">
        <f t="shared" ref="C37:G37" si="3">+C34+C36</f>
        <v>17.899999999999999</v>
      </c>
      <c r="D37" s="19">
        <f t="shared" si="3"/>
        <v>18.700000000000003</v>
      </c>
      <c r="E37" s="19">
        <f t="shared" si="3"/>
        <v>19.399999999999995</v>
      </c>
      <c r="F37" s="19">
        <f t="shared" si="3"/>
        <v>19.999999999999996</v>
      </c>
      <c r="G37" s="19">
        <f t="shared" si="3"/>
        <v>20.799999999999994</v>
      </c>
    </row>
    <row r="38" spans="1:22" x14ac:dyDescent="0.3">
      <c r="A38" t="s">
        <v>85</v>
      </c>
      <c r="B38" s="60">
        <f>-B12*B37</f>
        <v>-4.1249999999999982</v>
      </c>
      <c r="C38" s="60">
        <f>-B12*C37</f>
        <v>-4.4749999999999996</v>
      </c>
      <c r="D38" s="60">
        <f>-B12*D37</f>
        <v>-4.6750000000000007</v>
      </c>
      <c r="E38" s="60">
        <f>-B12*E37</f>
        <v>-4.8499999999999988</v>
      </c>
      <c r="F38" s="60">
        <f>-B12*F37</f>
        <v>-4.9999999999999991</v>
      </c>
      <c r="G38" s="60">
        <f>-B12*G37</f>
        <v>-5.1999999999999984</v>
      </c>
    </row>
    <row r="39" spans="1:22" x14ac:dyDescent="0.3">
      <c r="A39" t="s">
        <v>86</v>
      </c>
      <c r="B39">
        <f>+B37+B38</f>
        <v>12.374999999999995</v>
      </c>
      <c r="C39">
        <f t="shared" ref="C39:G39" si="4">+C37+C38</f>
        <v>13.424999999999999</v>
      </c>
      <c r="D39">
        <f t="shared" si="4"/>
        <v>14.025000000000002</v>
      </c>
      <c r="E39">
        <f t="shared" si="4"/>
        <v>14.549999999999997</v>
      </c>
      <c r="F39">
        <f t="shared" si="4"/>
        <v>14.999999999999996</v>
      </c>
      <c r="G39">
        <f t="shared" si="4"/>
        <v>15.599999999999994</v>
      </c>
    </row>
    <row r="42" spans="1:22" x14ac:dyDescent="0.3">
      <c r="A42" s="12" t="s">
        <v>87</v>
      </c>
    </row>
    <row r="43" spans="1:22" x14ac:dyDescent="0.3">
      <c r="A43" t="s">
        <v>86</v>
      </c>
      <c r="B43">
        <f>+B39</f>
        <v>12.374999999999995</v>
      </c>
      <c r="C43">
        <f t="shared" ref="C43:G43" si="5">+C39</f>
        <v>13.424999999999999</v>
      </c>
      <c r="D43">
        <f t="shared" si="5"/>
        <v>14.025000000000002</v>
      </c>
      <c r="E43">
        <f t="shared" si="5"/>
        <v>14.549999999999997</v>
      </c>
      <c r="F43">
        <f t="shared" si="5"/>
        <v>14.999999999999996</v>
      </c>
      <c r="G43">
        <f t="shared" si="5"/>
        <v>15.599999999999994</v>
      </c>
    </row>
    <row r="44" spans="1:22" x14ac:dyDescent="0.3">
      <c r="A44" t="s">
        <v>88</v>
      </c>
      <c r="B44">
        <v>-4.2</v>
      </c>
      <c r="C44">
        <f>+B27-C27</f>
        <v>-4.4000000000000057</v>
      </c>
      <c r="D44">
        <f t="shared" ref="D44:G44" si="6">+C27-D27</f>
        <v>-4.0999999999999943</v>
      </c>
      <c r="E44">
        <f t="shared" si="6"/>
        <v>-3.7000000000000028</v>
      </c>
      <c r="F44">
        <f t="shared" si="6"/>
        <v>-3.9000000000000057</v>
      </c>
      <c r="G44">
        <f t="shared" si="6"/>
        <v>-4</v>
      </c>
    </row>
    <row r="45" spans="1:22" x14ac:dyDescent="0.3">
      <c r="A45" t="s">
        <v>89</v>
      </c>
      <c r="B45">
        <v>0</v>
      </c>
      <c r="C45">
        <v>0</v>
      </c>
      <c r="D45">
        <v>0</v>
      </c>
      <c r="E45">
        <v>0</v>
      </c>
      <c r="F45">
        <v>0</v>
      </c>
      <c r="G45">
        <v>0</v>
      </c>
    </row>
    <row r="46" spans="1:22" x14ac:dyDescent="0.3">
      <c r="A46" s="12" t="s">
        <v>90</v>
      </c>
      <c r="B46" s="61">
        <f>+B43+B44+B45</f>
        <v>8.1749999999999936</v>
      </c>
      <c r="C46" s="61">
        <f t="shared" ref="C46:G46" si="7">+C43+C44+C45</f>
        <v>9.0249999999999932</v>
      </c>
      <c r="D46" s="61">
        <f t="shared" si="7"/>
        <v>9.9250000000000078</v>
      </c>
      <c r="E46" s="61">
        <f t="shared" si="7"/>
        <v>10.849999999999994</v>
      </c>
      <c r="F46" s="61">
        <f t="shared" si="7"/>
        <v>11.099999999999991</v>
      </c>
      <c r="G46" s="61">
        <f t="shared" si="7"/>
        <v>11.599999999999994</v>
      </c>
      <c r="H46" s="62">
        <f>(G43*(1+B18)*(1-(B18/B17)))/(B16-B18)</f>
        <v>205.03437499999995</v>
      </c>
      <c r="I46" s="12"/>
      <c r="J46" s="12"/>
      <c r="K46" s="12"/>
      <c r="L46" s="12"/>
      <c r="M46" s="12"/>
      <c r="N46" s="12"/>
      <c r="O46" s="12"/>
      <c r="P46" s="12"/>
      <c r="Q46" s="12"/>
      <c r="R46" s="12"/>
      <c r="S46" s="12"/>
      <c r="T46" s="12"/>
      <c r="U46" s="12"/>
      <c r="V46" s="12"/>
    </row>
    <row r="47" spans="1:22" x14ac:dyDescent="0.3">
      <c r="A47" s="12" t="s">
        <v>91</v>
      </c>
      <c r="B47" s="4">
        <f>(1+B16)^-1</f>
        <v>0.9174311926605504</v>
      </c>
      <c r="C47" s="4">
        <f>(1+B16)^-2</f>
        <v>0.84167999326655996</v>
      </c>
      <c r="D47" s="4">
        <f>(1+B16)^-3</f>
        <v>0.77218348006106419</v>
      </c>
      <c r="E47" s="4">
        <f>(1+B16)^-4</f>
        <v>0.7084252110651964</v>
      </c>
      <c r="F47" s="4">
        <f>(1+B16)^-5</f>
        <v>0.64993138629834524</v>
      </c>
      <c r="G47" s="4">
        <f>(1+B16)^-6</f>
        <v>0.5962673268792158</v>
      </c>
      <c r="H47" s="4">
        <f>(1+B16)^-6</f>
        <v>0.5962673268792158</v>
      </c>
    </row>
    <row r="48" spans="1:22" ht="15" thickBot="1" x14ac:dyDescent="0.35">
      <c r="A48" s="12" t="s">
        <v>92</v>
      </c>
      <c r="B48" s="4">
        <f>B46*B47</f>
        <v>7.4999999999999938</v>
      </c>
      <c r="C48" s="4">
        <f t="shared" ref="C48:G48" si="8">C46*C47</f>
        <v>7.596161939230698</v>
      </c>
      <c r="D48" s="4">
        <f t="shared" si="8"/>
        <v>7.663921039606068</v>
      </c>
      <c r="E48" s="4">
        <f t="shared" si="8"/>
        <v>7.6864135400573765</v>
      </c>
      <c r="F48" s="4">
        <f t="shared" si="8"/>
        <v>7.2142383879116263</v>
      </c>
      <c r="G48" s="4">
        <f t="shared" si="8"/>
        <v>6.9167009917988995</v>
      </c>
      <c r="H48" s="4">
        <f>+H46*H47</f>
        <v>122.25529869960069</v>
      </c>
    </row>
    <row r="49" spans="1:21" ht="15" thickBot="1" x14ac:dyDescent="0.35">
      <c r="A49" s="12" t="s">
        <v>93</v>
      </c>
      <c r="B49" s="63">
        <f>SUM(B48:H48)</f>
        <v>166.83273459820535</v>
      </c>
      <c r="J49" s="41" t="s">
        <v>103</v>
      </c>
      <c r="K49" s="41"/>
      <c r="L49" s="41"/>
      <c r="M49" s="41"/>
      <c r="N49" s="41"/>
      <c r="O49" s="41"/>
      <c r="P49" s="41"/>
      <c r="Q49" s="41"/>
      <c r="R49" s="41"/>
      <c r="S49" s="41"/>
      <c r="T49" s="41"/>
      <c r="U49" s="41"/>
    </row>
    <row r="51" spans="1:21" x14ac:dyDescent="0.3">
      <c r="A51" s="12" t="s">
        <v>94</v>
      </c>
    </row>
    <row r="52" spans="1:21" x14ac:dyDescent="0.3">
      <c r="A52" t="s">
        <v>95</v>
      </c>
      <c r="B52" s="8"/>
      <c r="C52" s="8">
        <f>+C23/B23-1</f>
        <v>4.5017126080574066E-2</v>
      </c>
      <c r="D52" s="8">
        <f t="shared" ref="D52:G52" si="9">+D23/C23-1</f>
        <v>3.9956297799281781E-2</v>
      </c>
      <c r="E52" s="8">
        <f t="shared" si="9"/>
        <v>3.5044274350892968E-2</v>
      </c>
      <c r="F52" s="8">
        <f t="shared" si="9"/>
        <v>3.5017762633219762E-2</v>
      </c>
      <c r="G52" s="8">
        <f t="shared" si="9"/>
        <v>3.4953768562622667E-2</v>
      </c>
      <c r="H52" s="8"/>
      <c r="J52" s="41" t="s">
        <v>102</v>
      </c>
      <c r="K52" s="41"/>
      <c r="L52" s="41"/>
      <c r="M52" s="41"/>
      <c r="N52" s="41"/>
    </row>
    <row r="53" spans="1:21" x14ac:dyDescent="0.3">
      <c r="A53" t="s">
        <v>96</v>
      </c>
      <c r="B53" s="8">
        <f>+B32/B23</f>
        <v>5.8391779481324409E-2</v>
      </c>
      <c r="C53" s="8">
        <f>+C32/C23</f>
        <v>5.8373653816138592E-2</v>
      </c>
      <c r="D53" s="8">
        <f t="shared" ref="D53:G53" si="10">+D32/D23</f>
        <v>5.868227525138827E-2</v>
      </c>
      <c r="E53" s="8">
        <f t="shared" si="10"/>
        <v>5.8942942072065539E-2</v>
      </c>
      <c r="F53" s="8">
        <f t="shared" si="10"/>
        <v>5.8910058840011208E-2</v>
      </c>
      <c r="G53" s="8">
        <f t="shared" si="10"/>
        <v>5.8950930626057524E-2</v>
      </c>
      <c r="H53" s="8"/>
    </row>
    <row r="54" spans="1:21" x14ac:dyDescent="0.3">
      <c r="A54" t="s">
        <v>97</v>
      </c>
      <c r="B54" s="8"/>
      <c r="C54" s="8">
        <f>+C26/B26-1</f>
        <v>4.5031468841414846E-2</v>
      </c>
      <c r="D54" s="8">
        <f t="shared" ref="D54:G54" si="11">+D26/C26-1</f>
        <v>3.9952498091441191E-2</v>
      </c>
      <c r="E54" s="8">
        <f t="shared" si="11"/>
        <v>3.4991843393148425E-2</v>
      </c>
      <c r="F54" s="8">
        <f t="shared" si="11"/>
        <v>3.5069745448814027E-2</v>
      </c>
      <c r="G54" s="8">
        <f t="shared" si="11"/>
        <v>3.4947464595705746E-2</v>
      </c>
      <c r="H54" s="8"/>
    </row>
    <row r="55" spans="1:21" x14ac:dyDescent="0.3">
      <c r="A55" t="s">
        <v>98</v>
      </c>
      <c r="B55" s="8">
        <f>+B33/B26</f>
        <v>-3.6876163460686111E-2</v>
      </c>
      <c r="C55" s="8">
        <f>+C33/C26</f>
        <v>-3.6813979133090168E-2</v>
      </c>
      <c r="D55" s="8">
        <f t="shared" ref="D55:G55" si="12">+D33/D26</f>
        <v>-3.7030995106035886E-2</v>
      </c>
      <c r="E55" s="8">
        <f t="shared" si="12"/>
        <v>-3.7197572700764445E-2</v>
      </c>
      <c r="F55" s="8">
        <f t="shared" si="12"/>
        <v>-3.7231612608497028E-2</v>
      </c>
      <c r="G55" s="8">
        <f t="shared" si="12"/>
        <v>-3.7225042301184438E-2</v>
      </c>
      <c r="H55" s="8"/>
    </row>
    <row r="57" spans="1:21" x14ac:dyDescent="0.3">
      <c r="A57" t="s">
        <v>99</v>
      </c>
      <c r="B57" s="3">
        <f>-B36/B34</f>
        <v>0.45000000000000012</v>
      </c>
      <c r="C57" s="3">
        <f t="shared" ref="C57:G57" si="13">-C36/C34</f>
        <v>0.42993630573248409</v>
      </c>
      <c r="D57" s="3">
        <f t="shared" si="13"/>
        <v>0.42987804878048774</v>
      </c>
      <c r="E57" s="3">
        <f t="shared" si="13"/>
        <v>0.43108504398826986</v>
      </c>
      <c r="F57" s="3">
        <f t="shared" si="13"/>
        <v>0.43181818181818182</v>
      </c>
      <c r="G57" s="3">
        <f t="shared" si="13"/>
        <v>0.43013698630136993</v>
      </c>
    </row>
    <row r="58" spans="1:21" x14ac:dyDescent="0.3">
      <c r="A58" t="s">
        <v>17</v>
      </c>
      <c r="B58" s="3">
        <f>+B38/B37</f>
        <v>-0.25</v>
      </c>
      <c r="C58" s="3">
        <f t="shared" ref="C58:G58" si="14">+C38/C37</f>
        <v>-0.25</v>
      </c>
      <c r="D58" s="3">
        <f t="shared" si="14"/>
        <v>-0.25</v>
      </c>
      <c r="E58" s="3">
        <f t="shared" si="14"/>
        <v>-0.25</v>
      </c>
      <c r="F58" s="3">
        <f t="shared" si="14"/>
        <v>-0.25</v>
      </c>
      <c r="G58" s="3">
        <f t="shared" si="14"/>
        <v>-0.25</v>
      </c>
    </row>
    <row r="60" spans="1:21" x14ac:dyDescent="0.3">
      <c r="A60" t="s">
        <v>100</v>
      </c>
      <c r="B60" s="8">
        <f>+B27/B24</f>
        <v>8.0003262110585546E-2</v>
      </c>
      <c r="C60" s="8">
        <f>+C27/C24</f>
        <v>7.9990635242703292E-2</v>
      </c>
      <c r="D60" s="8">
        <f t="shared" ref="D60:G60" si="15">+D27/D24</f>
        <v>7.9993996698184008E-2</v>
      </c>
      <c r="E60" s="8">
        <f t="shared" si="15"/>
        <v>7.9968099760748201E-2</v>
      </c>
      <c r="F60" s="8">
        <f t="shared" si="15"/>
        <v>7.9994396189408803E-2</v>
      </c>
      <c r="G60" s="8">
        <f t="shared" si="15"/>
        <v>0.08</v>
      </c>
    </row>
    <row r="61" spans="1:21" x14ac:dyDescent="0.3">
      <c r="A61" t="s">
        <v>101</v>
      </c>
      <c r="B61" s="8"/>
      <c r="C61" s="8">
        <f>+C39/B27</f>
        <v>0.13685015290519878</v>
      </c>
      <c r="D61" s="8">
        <f t="shared" ref="D61:G61" si="16">+D39/C27</f>
        <v>0.13682926829268294</v>
      </c>
      <c r="E61" s="8">
        <f t="shared" si="16"/>
        <v>0.13649155722326453</v>
      </c>
      <c r="F61" s="8">
        <f t="shared" si="16"/>
        <v>0.13599274705349046</v>
      </c>
      <c r="G61" s="8">
        <f t="shared" si="16"/>
        <v>0.13660245183887912</v>
      </c>
    </row>
    <row r="66" spans="4:8" x14ac:dyDescent="0.3">
      <c r="D66" s="5"/>
      <c r="E66" s="5"/>
      <c r="F66" s="18"/>
      <c r="G66" s="18"/>
    </row>
    <row r="67" spans="4:8" x14ac:dyDescent="0.3">
      <c r="D67" s="5"/>
      <c r="E67" s="5"/>
      <c r="F67" s="18"/>
      <c r="G67" s="18"/>
    </row>
    <row r="68" spans="4:8" x14ac:dyDescent="0.3">
      <c r="D68" s="5"/>
      <c r="E68" s="5"/>
      <c r="F68" s="18"/>
      <c r="G68" s="18"/>
    </row>
    <row r="69" spans="4:8" x14ac:dyDescent="0.3">
      <c r="D69" s="5"/>
      <c r="E69" s="5"/>
      <c r="F69" s="18"/>
      <c r="G69" s="18"/>
      <c r="H69" s="18"/>
    </row>
    <row r="70" spans="4:8" x14ac:dyDescent="0.3">
      <c r="D70" s="57"/>
      <c r="E70" s="57"/>
      <c r="F70" s="18"/>
      <c r="G70" s="18"/>
      <c r="H70" s="18"/>
    </row>
    <row r="71" spans="4:8" x14ac:dyDescent="0.3">
      <c r="D71" s="5"/>
      <c r="E71" s="5"/>
      <c r="F71" s="18"/>
      <c r="G71" s="18"/>
      <c r="H71" s="18"/>
    </row>
    <row r="72" spans="4:8" x14ac:dyDescent="0.3">
      <c r="D72" s="5"/>
      <c r="E72" s="5"/>
      <c r="F72" s="18"/>
      <c r="G72" s="18"/>
      <c r="H72" s="18"/>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ACD47-2D6C-41E2-BE09-93E6FB1CD84A}">
  <sheetPr codeName="Sheet118">
    <tabColor theme="5" tint="0.39997558519241921"/>
  </sheetPr>
  <dimension ref="A1:V65"/>
  <sheetViews>
    <sheetView zoomScale="115" zoomScaleNormal="115" workbookViewId="0"/>
  </sheetViews>
  <sheetFormatPr defaultRowHeight="14.4" x14ac:dyDescent="0.3"/>
  <cols>
    <col min="2" max="2" width="30.5546875" customWidth="1"/>
    <col min="3" max="4" width="11.21875" customWidth="1"/>
    <col min="5" max="5" width="12.77734375" customWidth="1"/>
    <col min="6" max="8" width="11.21875" customWidth="1"/>
    <col min="9" max="9" width="10.109375" customWidth="1"/>
    <col min="16" max="16" width="11.77734375" customWidth="1"/>
    <col min="20" max="20" width="12.77734375" customWidth="1"/>
    <col min="21" max="21" width="11.77734375" customWidth="1"/>
    <col min="22" max="22" width="10" bestFit="1" customWidth="1"/>
  </cols>
  <sheetData>
    <row r="1" spans="1:6" x14ac:dyDescent="0.3">
      <c r="A1" s="7" t="s">
        <v>1</v>
      </c>
    </row>
    <row r="2" spans="1:6" x14ac:dyDescent="0.3">
      <c r="A2" t="s">
        <v>108</v>
      </c>
    </row>
    <row r="3" spans="1:6" x14ac:dyDescent="0.3">
      <c r="A3" t="s">
        <v>109</v>
      </c>
    </row>
    <row r="5" spans="1:6" x14ac:dyDescent="0.3">
      <c r="A5" t="s">
        <v>181</v>
      </c>
    </row>
    <row r="6" spans="1:6" x14ac:dyDescent="0.3">
      <c r="A6" t="s">
        <v>127</v>
      </c>
    </row>
    <row r="7" spans="1:6" x14ac:dyDescent="0.3">
      <c r="A7" t="s">
        <v>128</v>
      </c>
    </row>
    <row r="9" spans="1:6" x14ac:dyDescent="0.3">
      <c r="A9" t="s">
        <v>116</v>
      </c>
    </row>
    <row r="11" spans="1:6" x14ac:dyDescent="0.3">
      <c r="A11" s="12" t="s">
        <v>130</v>
      </c>
    </row>
    <row r="13" spans="1:6" x14ac:dyDescent="0.3">
      <c r="A13" s="7" t="s">
        <v>9</v>
      </c>
      <c r="F13" s="7" t="s">
        <v>45</v>
      </c>
    </row>
    <row r="15" spans="1:6" x14ac:dyDescent="0.3">
      <c r="A15" t="s">
        <v>11</v>
      </c>
      <c r="C15" s="13">
        <v>4.2500000000000003E-2</v>
      </c>
      <c r="F15" t="s">
        <v>47</v>
      </c>
    </row>
    <row r="16" spans="1:6" x14ac:dyDescent="0.3">
      <c r="A16" t="s">
        <v>12</v>
      </c>
      <c r="C16" s="13">
        <v>0.04</v>
      </c>
    </row>
    <row r="17" spans="1:6" x14ac:dyDescent="0.3">
      <c r="C17" s="13"/>
    </row>
    <row r="18" spans="1:6" x14ac:dyDescent="0.3">
      <c r="C18" t="s">
        <v>114</v>
      </c>
      <c r="D18" t="s">
        <v>112</v>
      </c>
    </row>
    <row r="19" spans="1:6" x14ac:dyDescent="0.3">
      <c r="C19" s="13" t="s">
        <v>110</v>
      </c>
      <c r="D19" t="s">
        <v>115</v>
      </c>
    </row>
    <row r="20" spans="1:6" x14ac:dyDescent="0.3">
      <c r="C20" s="65" t="s">
        <v>111</v>
      </c>
      <c r="D20" s="31" t="s">
        <v>113</v>
      </c>
    </row>
    <row r="21" spans="1:6" x14ac:dyDescent="0.3">
      <c r="A21" t="s">
        <v>15</v>
      </c>
      <c r="C21">
        <v>0.85</v>
      </c>
      <c r="D21">
        <v>0.85</v>
      </c>
    </row>
    <row r="22" spans="1:6" x14ac:dyDescent="0.3">
      <c r="A22" t="s">
        <v>16</v>
      </c>
      <c r="C22" s="1">
        <v>0.05</v>
      </c>
      <c r="D22" s="1">
        <v>0.05</v>
      </c>
    </row>
    <row r="23" spans="1:6" x14ac:dyDescent="0.3">
      <c r="A23" t="s">
        <v>17</v>
      </c>
      <c r="C23" s="1">
        <v>0.25</v>
      </c>
      <c r="D23" s="1">
        <v>0.25</v>
      </c>
    </row>
    <row r="24" spans="1:6" x14ac:dyDescent="0.3">
      <c r="A24" t="s">
        <v>48</v>
      </c>
      <c r="C24" s="1">
        <v>0.1</v>
      </c>
      <c r="D24" s="1">
        <v>0.1</v>
      </c>
    </row>
    <row r="25" spans="1:6" x14ac:dyDescent="0.3">
      <c r="A25" t="s">
        <v>18</v>
      </c>
      <c r="C25" s="22">
        <v>1000</v>
      </c>
      <c r="D25" s="22">
        <v>500</v>
      </c>
    </row>
    <row r="26" spans="1:6" x14ac:dyDescent="0.3">
      <c r="A26" t="s">
        <v>19</v>
      </c>
      <c r="C26" s="22">
        <v>50</v>
      </c>
      <c r="D26" s="22">
        <v>25</v>
      </c>
    </row>
    <row r="27" spans="1:6" x14ac:dyDescent="0.3">
      <c r="A27" t="s">
        <v>20</v>
      </c>
      <c r="C27" s="1">
        <v>0.15</v>
      </c>
      <c r="D27" s="1">
        <v>0.15</v>
      </c>
    </row>
    <row r="28" spans="1:6" x14ac:dyDescent="0.3">
      <c r="A28" t="s">
        <v>21</v>
      </c>
      <c r="C28" s="1">
        <v>0.7</v>
      </c>
      <c r="D28" s="1">
        <v>0.7</v>
      </c>
    </row>
    <row r="29" spans="1:6" x14ac:dyDescent="0.3">
      <c r="A29" t="s">
        <v>22</v>
      </c>
      <c r="C29" s="6" t="s">
        <v>23</v>
      </c>
      <c r="D29" s="6" t="s">
        <v>23</v>
      </c>
      <c r="F29" t="s">
        <v>46</v>
      </c>
    </row>
    <row r="31" spans="1:6" x14ac:dyDescent="0.3">
      <c r="A31" t="s">
        <v>24</v>
      </c>
      <c r="C31" s="13">
        <f>C15+C21*C16</f>
        <v>7.6500000000000012E-2</v>
      </c>
      <c r="D31" s="13">
        <f>+C15+D21*C16</f>
        <v>7.6500000000000012E-2</v>
      </c>
    </row>
    <row r="32" spans="1:6" x14ac:dyDescent="0.3">
      <c r="A32" t="s">
        <v>25</v>
      </c>
      <c r="C32" s="13">
        <f>C22*(1-C23)</f>
        <v>3.7500000000000006E-2</v>
      </c>
      <c r="D32" s="13">
        <f>D22*(1-D23)</f>
        <v>3.7500000000000006E-2</v>
      </c>
    </row>
    <row r="33" spans="1:20" x14ac:dyDescent="0.3">
      <c r="A33" t="s">
        <v>26</v>
      </c>
      <c r="C33" s="23">
        <f>C24*C32+(1-C24)*C31</f>
        <v>7.2600000000000012E-2</v>
      </c>
      <c r="D33" s="23">
        <f>D24*D32+(1-D24)*D31</f>
        <v>7.2600000000000012E-2</v>
      </c>
    </row>
    <row r="34" spans="1:20" x14ac:dyDescent="0.3">
      <c r="A34" t="s">
        <v>27</v>
      </c>
      <c r="C34" s="13">
        <f>C27*(1-C23)</f>
        <v>0.11249999999999999</v>
      </c>
      <c r="D34" s="13">
        <f>D27*(1-D23)</f>
        <v>0.11249999999999999</v>
      </c>
    </row>
    <row r="35" spans="1:20" x14ac:dyDescent="0.3">
      <c r="A35" t="s">
        <v>28</v>
      </c>
      <c r="C35" s="1">
        <f>+C28</f>
        <v>0.7</v>
      </c>
      <c r="D35" s="1">
        <f>+D28</f>
        <v>0.7</v>
      </c>
    </row>
    <row r="36" spans="1:20" x14ac:dyDescent="0.3">
      <c r="A36" t="s">
        <v>29</v>
      </c>
      <c r="C36" s="13">
        <f>+C34*C35</f>
        <v>7.8749999999999987E-2</v>
      </c>
      <c r="D36" s="13">
        <f>+D34*D35</f>
        <v>7.8749999999999987E-2</v>
      </c>
    </row>
    <row r="38" spans="1:20" x14ac:dyDescent="0.3">
      <c r="A38" s="12" t="s">
        <v>54</v>
      </c>
    </row>
    <row r="39" spans="1:20" x14ac:dyDescent="0.3">
      <c r="A39" t="s">
        <v>59</v>
      </c>
    </row>
    <row r="41" spans="1:20" x14ac:dyDescent="0.3">
      <c r="Q41" s="22">
        <v>18</v>
      </c>
    </row>
    <row r="42" spans="1:20" x14ac:dyDescent="0.3">
      <c r="A42" s="12" t="s">
        <v>117</v>
      </c>
      <c r="H42" s="12" t="s">
        <v>118</v>
      </c>
      <c r="O42" s="12" t="s">
        <v>119</v>
      </c>
    </row>
    <row r="43" spans="1:20" x14ac:dyDescent="0.3">
      <c r="A43" t="s">
        <v>3</v>
      </c>
      <c r="B43" t="s">
        <v>33</v>
      </c>
      <c r="C43" t="s">
        <v>34</v>
      </c>
      <c r="D43" t="s">
        <v>35</v>
      </c>
      <c r="E43" t="s">
        <v>36</v>
      </c>
      <c r="F43" t="s">
        <v>37</v>
      </c>
      <c r="I43" t="s">
        <v>33</v>
      </c>
      <c r="J43" t="s">
        <v>34</v>
      </c>
      <c r="K43" t="s">
        <v>35</v>
      </c>
      <c r="L43" t="s">
        <v>36</v>
      </c>
      <c r="M43" t="s">
        <v>37</v>
      </c>
      <c r="P43" t="s">
        <v>33</v>
      </c>
      <c r="Q43" t="s">
        <v>34</v>
      </c>
      <c r="R43" t="s">
        <v>35</v>
      </c>
      <c r="S43" t="s">
        <v>36</v>
      </c>
      <c r="T43" t="s">
        <v>37</v>
      </c>
    </row>
    <row r="44" spans="1:20" x14ac:dyDescent="0.3">
      <c r="A44">
        <v>1</v>
      </c>
      <c r="B44" s="24">
        <f>+C26*(1+C36)</f>
        <v>53.937499999999993</v>
      </c>
      <c r="C44" s="1">
        <f>+C28</f>
        <v>0.7</v>
      </c>
      <c r="D44" s="2">
        <f>+C23</f>
        <v>0.25</v>
      </c>
      <c r="E44" s="26">
        <f>B44*(1-C44)*(1-D44)</f>
        <v>12.135937499999999</v>
      </c>
      <c r="F44" s="26">
        <f>E44/(1+$C$33)^A44</f>
        <v>11.314504475107215</v>
      </c>
      <c r="H44">
        <v>1</v>
      </c>
      <c r="I44" s="24">
        <f>+D26*(1+D36)</f>
        <v>26.968749999999996</v>
      </c>
      <c r="J44" s="1">
        <f>+D28</f>
        <v>0.7</v>
      </c>
      <c r="K44" s="2">
        <f>+D23</f>
        <v>0.25</v>
      </c>
      <c r="L44" s="26">
        <f>I44*(1-J44)*(1-K44)</f>
        <v>6.0679687499999995</v>
      </c>
      <c r="M44" s="26">
        <f>L44/(1+$D$33)^H44</f>
        <v>5.6572522375536076</v>
      </c>
      <c r="O44">
        <v>1</v>
      </c>
      <c r="P44" s="24"/>
      <c r="Q44" s="1"/>
      <c r="R44" s="2"/>
      <c r="S44" s="26"/>
      <c r="T44" s="26"/>
    </row>
    <row r="45" spans="1:20" x14ac:dyDescent="0.3">
      <c r="A45">
        <v>2</v>
      </c>
      <c r="B45" s="26">
        <f>B44*(1+$C$36)</f>
        <v>58.185078124999983</v>
      </c>
      <c r="C45" s="1">
        <f>+C44</f>
        <v>0.7</v>
      </c>
      <c r="D45" s="2">
        <f>+D44</f>
        <v>0.25</v>
      </c>
      <c r="E45" s="26">
        <f t="shared" ref="E45:E48" si="0">B45*(1-C45)*(1-D45)</f>
        <v>13.091642578124999</v>
      </c>
      <c r="F45" s="26">
        <f t="shared" ref="F45:F48" si="1">E45/(1+$C$33)^A45</f>
        <v>11.379378801530775</v>
      </c>
      <c r="H45">
        <v>2</v>
      </c>
      <c r="I45" s="26">
        <f>I44*(1+$D$36)</f>
        <v>29.092539062499991</v>
      </c>
      <c r="J45" s="1">
        <f>+J44</f>
        <v>0.7</v>
      </c>
      <c r="K45" s="2">
        <f>+K44</f>
        <v>0.25</v>
      </c>
      <c r="L45" s="26">
        <f t="shared" ref="L45:L48" si="2">I45*(1-J45)*(1-K45)</f>
        <v>6.5458212890624994</v>
      </c>
      <c r="M45" s="26">
        <f t="shared" ref="M45:M48" si="3">L45/(1+$D$33)^H45</f>
        <v>5.6896894007653875</v>
      </c>
      <c r="O45">
        <v>2</v>
      </c>
      <c r="P45" s="26"/>
      <c r="Q45" s="1"/>
      <c r="R45" s="2"/>
      <c r="S45" s="26"/>
      <c r="T45" s="26"/>
    </row>
    <row r="46" spans="1:20" x14ac:dyDescent="0.3">
      <c r="A46">
        <v>3</v>
      </c>
      <c r="B46" s="26">
        <f t="shared" ref="B46:B48" si="4">B45*(1+$C$36)</f>
        <v>62.767153027343724</v>
      </c>
      <c r="C46" s="1">
        <f t="shared" ref="C46:D49" si="5">+C45</f>
        <v>0.7</v>
      </c>
      <c r="D46" s="2">
        <f t="shared" si="5"/>
        <v>0.25</v>
      </c>
      <c r="E46" s="26">
        <f t="shared" si="0"/>
        <v>14.122609431152341</v>
      </c>
      <c r="F46" s="26">
        <f t="shared" si="1"/>
        <v>11.444625099898678</v>
      </c>
      <c r="H46">
        <v>3</v>
      </c>
      <c r="I46" s="26">
        <f t="shared" ref="I46:I48" si="6">I45*(1+$D$36)</f>
        <v>31.383576513671862</v>
      </c>
      <c r="J46" s="1">
        <f t="shared" ref="J46:K49" si="7">+J45</f>
        <v>0.7</v>
      </c>
      <c r="K46" s="2">
        <f t="shared" si="7"/>
        <v>0.25</v>
      </c>
      <c r="L46" s="26">
        <f t="shared" si="2"/>
        <v>7.0613047155761706</v>
      </c>
      <c r="M46" s="26">
        <f t="shared" si="3"/>
        <v>5.722312549949339</v>
      </c>
      <c r="O46">
        <v>3</v>
      </c>
      <c r="P46" s="26"/>
      <c r="Q46" s="1"/>
      <c r="R46" s="2"/>
      <c r="S46" s="26"/>
      <c r="T46" s="26"/>
    </row>
    <row r="47" spans="1:20" x14ac:dyDescent="0.3">
      <c r="A47">
        <v>4</v>
      </c>
      <c r="B47" s="26">
        <f t="shared" si="4"/>
        <v>67.710066328247038</v>
      </c>
      <c r="C47" s="1">
        <f t="shared" si="5"/>
        <v>0.7</v>
      </c>
      <c r="D47" s="2">
        <f t="shared" si="5"/>
        <v>0.25</v>
      </c>
      <c r="E47" s="26">
        <f t="shared" si="0"/>
        <v>15.234764923855586</v>
      </c>
      <c r="F47" s="26">
        <f t="shared" si="1"/>
        <v>11.510245502998041</v>
      </c>
      <c r="H47">
        <v>4</v>
      </c>
      <c r="I47" s="26">
        <f t="shared" si="6"/>
        <v>33.855033164123519</v>
      </c>
      <c r="J47" s="1">
        <f t="shared" si="7"/>
        <v>0.7</v>
      </c>
      <c r="K47" s="2">
        <f t="shared" si="7"/>
        <v>0.25</v>
      </c>
      <c r="L47" s="26">
        <f t="shared" si="2"/>
        <v>7.617382461927793</v>
      </c>
      <c r="M47" s="26">
        <f t="shared" si="3"/>
        <v>5.7551227514990204</v>
      </c>
      <c r="O47">
        <v>4</v>
      </c>
      <c r="P47" s="26"/>
      <c r="Q47" s="1"/>
      <c r="R47" s="2"/>
      <c r="S47" s="26"/>
      <c r="T47" s="26"/>
    </row>
    <row r="48" spans="1:20" x14ac:dyDescent="0.3">
      <c r="A48">
        <v>5</v>
      </c>
      <c r="B48" s="26">
        <f t="shared" si="4"/>
        <v>73.042234051596481</v>
      </c>
      <c r="C48" s="1">
        <f t="shared" si="5"/>
        <v>0.7</v>
      </c>
      <c r="D48" s="2">
        <f t="shared" si="5"/>
        <v>0.25</v>
      </c>
      <c r="E48" s="26">
        <f t="shared" si="0"/>
        <v>16.434502661609208</v>
      </c>
      <c r="F48" s="26">
        <f t="shared" si="1"/>
        <v>11.576242155844801</v>
      </c>
      <c r="H48">
        <v>5</v>
      </c>
      <c r="I48" s="26">
        <f t="shared" si="6"/>
        <v>36.52111702579824</v>
      </c>
      <c r="J48" s="1">
        <f t="shared" si="7"/>
        <v>0.7</v>
      </c>
      <c r="K48" s="2">
        <f t="shared" si="7"/>
        <v>0.25</v>
      </c>
      <c r="L48" s="26">
        <f t="shared" si="2"/>
        <v>8.2172513308046042</v>
      </c>
      <c r="M48" s="26">
        <f t="shared" si="3"/>
        <v>5.7881210779224004</v>
      </c>
      <c r="O48">
        <v>5</v>
      </c>
      <c r="P48" s="26"/>
      <c r="Q48" s="1"/>
      <c r="R48" s="2"/>
      <c r="S48" s="26"/>
      <c r="T48" s="26"/>
    </row>
    <row r="49" spans="1:22" x14ac:dyDescent="0.3">
      <c r="A49">
        <v>6</v>
      </c>
      <c r="B49" s="26">
        <f>B48*(1+C15)</f>
        <v>76.146528998789336</v>
      </c>
      <c r="C49" s="46">
        <f>$C$15/$C$33</f>
        <v>0.58539944903581265</v>
      </c>
      <c r="D49" s="2">
        <f t="shared" si="5"/>
        <v>0.25</v>
      </c>
      <c r="E49" s="26">
        <f>B49*(1-C49)*(1-D49)</f>
        <v>23.677794657681396</v>
      </c>
      <c r="H49">
        <v>6</v>
      </c>
      <c r="I49" s="27">
        <f>I48*(1+C15)</f>
        <v>38.073264499394668</v>
      </c>
      <c r="J49" s="46">
        <f>$C$15/$C$33</f>
        <v>0.58539944903581265</v>
      </c>
      <c r="K49" s="2">
        <f t="shared" si="7"/>
        <v>0.25</v>
      </c>
      <c r="L49" s="26">
        <f>I49*(1-J49)*(1-K49)</f>
        <v>11.838897328840698</v>
      </c>
      <c r="O49">
        <v>6</v>
      </c>
      <c r="P49" s="26"/>
      <c r="Q49" s="46"/>
      <c r="R49" s="2"/>
      <c r="S49" s="26"/>
    </row>
    <row r="50" spans="1:22" x14ac:dyDescent="0.3">
      <c r="A50" t="s">
        <v>38</v>
      </c>
      <c r="B50" s="28">
        <f>E49/(C33-C15)</f>
        <v>786.63769626848466</v>
      </c>
      <c r="H50" t="s">
        <v>38</v>
      </c>
      <c r="I50" s="27">
        <f>L49/(C33-C15)</f>
        <v>393.31884813424233</v>
      </c>
      <c r="O50" t="s">
        <v>38</v>
      </c>
      <c r="P50" s="27"/>
    </row>
    <row r="51" spans="1:22" x14ac:dyDescent="0.3">
      <c r="B51" s="28"/>
    </row>
    <row r="52" spans="1:22" x14ac:dyDescent="0.3">
      <c r="A52" t="s">
        <v>39</v>
      </c>
      <c r="B52" s="29">
        <f>SUM(F44:F48)</f>
        <v>57.224996035379512</v>
      </c>
      <c r="H52" t="s">
        <v>39</v>
      </c>
      <c r="I52" s="29">
        <f>SUM(M44:M48)</f>
        <v>28.612498017689756</v>
      </c>
      <c r="O52" t="s">
        <v>39</v>
      </c>
      <c r="P52" s="28"/>
      <c r="T52" s="6"/>
      <c r="U52" s="28"/>
    </row>
    <row r="53" spans="1:22" ht="15" thickBot="1" x14ac:dyDescent="0.35">
      <c r="A53" t="s">
        <v>40</v>
      </c>
      <c r="B53" s="30">
        <f>B50/(1+C33)^5</f>
        <v>554.09699024188251</v>
      </c>
      <c r="D53" s="25"/>
      <c r="E53" s="26"/>
      <c r="F53" s="26"/>
      <c r="H53" t="s">
        <v>40</v>
      </c>
      <c r="I53" s="28">
        <f>I50/(1+C33)^5</f>
        <v>277.04849512094125</v>
      </c>
      <c r="O53" t="s">
        <v>40</v>
      </c>
      <c r="P53" s="28"/>
      <c r="T53" s="6"/>
      <c r="U53" s="28"/>
      <c r="V53" s="12"/>
    </row>
    <row r="54" spans="1:22" ht="15" thickBot="1" x14ac:dyDescent="0.35">
      <c r="A54" t="s">
        <v>0</v>
      </c>
      <c r="B54" s="28">
        <f>SUM(B52:B53)</f>
        <v>611.321986277262</v>
      </c>
      <c r="H54" t="s">
        <v>0</v>
      </c>
      <c r="I54" s="28">
        <f>SUM(I52:I53)</f>
        <v>305.660993138631</v>
      </c>
      <c r="O54" t="s">
        <v>0</v>
      </c>
      <c r="P54" s="36"/>
      <c r="T54" s="97"/>
      <c r="U54" s="36"/>
    </row>
    <row r="56" spans="1:22" x14ac:dyDescent="0.3">
      <c r="B56" s="14"/>
      <c r="C56" s="14"/>
      <c r="D56" s="14"/>
      <c r="E56" s="14"/>
      <c r="G56" s="14"/>
      <c r="H56" s="14"/>
      <c r="I56" s="14"/>
      <c r="J56" s="14"/>
      <c r="L56" s="14"/>
      <c r="M56" s="14"/>
      <c r="N56" s="14"/>
      <c r="O56" s="14"/>
    </row>
    <row r="57" spans="1:22" x14ac:dyDescent="0.3">
      <c r="C57" s="6"/>
      <c r="D57" s="10"/>
      <c r="E57" s="10"/>
      <c r="F57" s="10"/>
      <c r="G57" s="10"/>
      <c r="H57" s="10"/>
      <c r="I57" s="10"/>
      <c r="J57" s="10"/>
      <c r="K57" s="10"/>
      <c r="L57" s="10"/>
      <c r="M57" s="9"/>
    </row>
    <row r="58" spans="1:22" x14ac:dyDescent="0.3">
      <c r="D58" s="6"/>
      <c r="E58" s="34"/>
    </row>
    <row r="59" spans="1:22" x14ac:dyDescent="0.3">
      <c r="A59" t="s">
        <v>120</v>
      </c>
    </row>
    <row r="60" spans="1:22" x14ac:dyDescent="0.3">
      <c r="C60" s="26"/>
    </row>
    <row r="61" spans="1:22" x14ac:dyDescent="0.3">
      <c r="C61" s="26"/>
    </row>
    <row r="62" spans="1:22" x14ac:dyDescent="0.3">
      <c r="C62" s="26"/>
    </row>
    <row r="63" spans="1:22" x14ac:dyDescent="0.3">
      <c r="C63" s="26"/>
    </row>
    <row r="64" spans="1:22" ht="15" thickBot="1" x14ac:dyDescent="0.35">
      <c r="C64" s="26"/>
    </row>
    <row r="65" spans="3:3" ht="15" thickBot="1" x14ac:dyDescent="0.35">
      <c r="C65" s="66"/>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0FB0-50EF-4F7D-9270-FBA47C79A8E2}">
  <sheetPr codeName="Sheet100">
    <tabColor theme="9" tint="0.59999389629810485"/>
  </sheetPr>
  <dimension ref="A1:AH65"/>
  <sheetViews>
    <sheetView zoomScale="115" zoomScaleNormal="115" workbookViewId="0"/>
  </sheetViews>
  <sheetFormatPr defaultRowHeight="14.4" x14ac:dyDescent="0.3"/>
  <cols>
    <col min="2" max="2" width="30.5546875" customWidth="1"/>
    <col min="3" max="4" width="11.21875" customWidth="1"/>
    <col min="5" max="5" width="12.77734375" customWidth="1"/>
    <col min="6" max="8" width="11.21875" customWidth="1"/>
    <col min="9" max="9" width="9.44140625" bestFit="1" customWidth="1"/>
    <col min="16" max="16" width="11.77734375" customWidth="1"/>
    <col min="20" max="20" width="12.77734375" customWidth="1"/>
    <col min="21" max="21" width="11.77734375" customWidth="1"/>
    <col min="22" max="22" width="10" bestFit="1" customWidth="1"/>
  </cols>
  <sheetData>
    <row r="1" spans="1:6" x14ac:dyDescent="0.3">
      <c r="A1" s="7" t="s">
        <v>1</v>
      </c>
    </row>
    <row r="2" spans="1:6" x14ac:dyDescent="0.3">
      <c r="A2" t="s">
        <v>108</v>
      </c>
    </row>
    <row r="3" spans="1:6" x14ac:dyDescent="0.3">
      <c r="A3" t="s">
        <v>109</v>
      </c>
    </row>
    <row r="5" spans="1:6" x14ac:dyDescent="0.3">
      <c r="A5" t="s">
        <v>181</v>
      </c>
    </row>
    <row r="6" spans="1:6" x14ac:dyDescent="0.3">
      <c r="A6" t="s">
        <v>127</v>
      </c>
    </row>
    <row r="7" spans="1:6" x14ac:dyDescent="0.3">
      <c r="A7" t="s">
        <v>128</v>
      </c>
    </row>
    <row r="9" spans="1:6" x14ac:dyDescent="0.3">
      <c r="A9" t="s">
        <v>116</v>
      </c>
    </row>
    <row r="11" spans="1:6" x14ac:dyDescent="0.3">
      <c r="A11" s="12" t="s">
        <v>130</v>
      </c>
    </row>
    <row r="13" spans="1:6" x14ac:dyDescent="0.3">
      <c r="A13" s="7" t="s">
        <v>9</v>
      </c>
      <c r="F13" s="7" t="s">
        <v>45</v>
      </c>
    </row>
    <row r="15" spans="1:6" x14ac:dyDescent="0.3">
      <c r="A15" t="s">
        <v>11</v>
      </c>
      <c r="C15" s="13">
        <v>4.2500000000000003E-2</v>
      </c>
      <c r="F15" t="s">
        <v>47</v>
      </c>
    </row>
    <row r="16" spans="1:6" x14ac:dyDescent="0.3">
      <c r="A16" t="s">
        <v>12</v>
      </c>
      <c r="C16" s="13">
        <v>0.04</v>
      </c>
    </row>
    <row r="17" spans="1:6" x14ac:dyDescent="0.3">
      <c r="C17" s="13"/>
    </row>
    <row r="18" spans="1:6" x14ac:dyDescent="0.3">
      <c r="C18" t="s">
        <v>114</v>
      </c>
      <c r="D18" t="s">
        <v>112</v>
      </c>
    </row>
    <row r="19" spans="1:6" x14ac:dyDescent="0.3">
      <c r="C19" s="13" t="s">
        <v>110</v>
      </c>
      <c r="D19" t="s">
        <v>115</v>
      </c>
    </row>
    <row r="20" spans="1:6" x14ac:dyDescent="0.3">
      <c r="C20" s="65" t="s">
        <v>111</v>
      </c>
      <c r="D20" s="31" t="s">
        <v>113</v>
      </c>
    </row>
    <row r="21" spans="1:6" x14ac:dyDescent="0.3">
      <c r="A21" t="s">
        <v>15</v>
      </c>
      <c r="C21">
        <v>0.85</v>
      </c>
      <c r="D21">
        <v>0.85</v>
      </c>
    </row>
    <row r="22" spans="1:6" x14ac:dyDescent="0.3">
      <c r="A22" t="s">
        <v>16</v>
      </c>
      <c r="C22" s="1">
        <v>0.05</v>
      </c>
      <c r="D22" s="1">
        <v>0.05</v>
      </c>
    </row>
    <row r="23" spans="1:6" x14ac:dyDescent="0.3">
      <c r="A23" t="s">
        <v>17</v>
      </c>
      <c r="C23" s="1">
        <v>0.25</v>
      </c>
      <c r="D23" s="1">
        <v>0.25</v>
      </c>
    </row>
    <row r="24" spans="1:6" x14ac:dyDescent="0.3">
      <c r="A24" t="s">
        <v>48</v>
      </c>
      <c r="C24" s="1">
        <v>0.1</v>
      </c>
      <c r="D24" s="1">
        <v>0.1</v>
      </c>
    </row>
    <row r="25" spans="1:6" x14ac:dyDescent="0.3">
      <c r="A25" t="s">
        <v>18</v>
      </c>
      <c r="C25" s="22">
        <v>1000</v>
      </c>
      <c r="D25" s="22">
        <v>500</v>
      </c>
    </row>
    <row r="26" spans="1:6" x14ac:dyDescent="0.3">
      <c r="A26" t="s">
        <v>19</v>
      </c>
      <c r="C26" s="22">
        <v>50</v>
      </c>
      <c r="D26" s="22">
        <v>25</v>
      </c>
    </row>
    <row r="27" spans="1:6" x14ac:dyDescent="0.3">
      <c r="A27" t="s">
        <v>20</v>
      </c>
      <c r="C27" s="1">
        <v>0.15</v>
      </c>
      <c r="D27" s="1">
        <v>0.15</v>
      </c>
    </row>
    <row r="28" spans="1:6" x14ac:dyDescent="0.3">
      <c r="A28" t="s">
        <v>21</v>
      </c>
      <c r="C28" s="1">
        <v>0.7</v>
      </c>
      <c r="D28" s="1">
        <v>0.7</v>
      </c>
    </row>
    <row r="29" spans="1:6" x14ac:dyDescent="0.3">
      <c r="A29" t="s">
        <v>22</v>
      </c>
      <c r="C29" s="6" t="s">
        <v>23</v>
      </c>
      <c r="D29" s="6" t="s">
        <v>23</v>
      </c>
      <c r="F29" t="s">
        <v>46</v>
      </c>
    </row>
    <row r="31" spans="1:6" x14ac:dyDescent="0.3">
      <c r="A31" t="s">
        <v>24</v>
      </c>
      <c r="C31" s="13">
        <f>C15+C21*C16</f>
        <v>7.6500000000000012E-2</v>
      </c>
      <c r="D31" s="13">
        <f>+C15+D21*C16</f>
        <v>7.6500000000000012E-2</v>
      </c>
    </row>
    <row r="32" spans="1:6" x14ac:dyDescent="0.3">
      <c r="A32" t="s">
        <v>25</v>
      </c>
      <c r="C32" s="13">
        <f>C22*(1-C23)</f>
        <v>3.7500000000000006E-2</v>
      </c>
      <c r="D32" s="13">
        <f>D22*(1-D23)</f>
        <v>3.7500000000000006E-2</v>
      </c>
    </row>
    <row r="33" spans="1:34" x14ac:dyDescent="0.3">
      <c r="A33" t="s">
        <v>26</v>
      </c>
      <c r="C33" s="23">
        <f>C24*C32+(1-C24)*C31</f>
        <v>7.2600000000000012E-2</v>
      </c>
      <c r="D33" s="23">
        <f>D24*D32+(1-D24)*D31</f>
        <v>7.2600000000000012E-2</v>
      </c>
    </row>
    <row r="34" spans="1:34" x14ac:dyDescent="0.3">
      <c r="A34" t="s">
        <v>27</v>
      </c>
      <c r="C34" s="13">
        <f>C27*(1-C23)</f>
        <v>0.11249999999999999</v>
      </c>
      <c r="D34" s="13">
        <f>D27*(1-D23)</f>
        <v>0.11249999999999999</v>
      </c>
    </row>
    <row r="35" spans="1:34" x14ac:dyDescent="0.3">
      <c r="A35" t="s">
        <v>28</v>
      </c>
      <c r="C35" s="1">
        <f>+C28</f>
        <v>0.7</v>
      </c>
      <c r="D35" s="1">
        <f>+D28</f>
        <v>0.7</v>
      </c>
    </row>
    <row r="36" spans="1:34" x14ac:dyDescent="0.3">
      <c r="A36" t="s">
        <v>29</v>
      </c>
      <c r="C36" s="13">
        <f>+C34*C35</f>
        <v>7.8749999999999987E-2</v>
      </c>
      <c r="D36" s="13">
        <f>+D34*D35</f>
        <v>7.8749999999999987E-2</v>
      </c>
    </row>
    <row r="38" spans="1:34" x14ac:dyDescent="0.3">
      <c r="A38" s="12" t="s">
        <v>54</v>
      </c>
    </row>
    <row r="39" spans="1:34" x14ac:dyDescent="0.3">
      <c r="A39" t="s">
        <v>59</v>
      </c>
    </row>
    <row r="41" spans="1:34" x14ac:dyDescent="0.3">
      <c r="Q41" s="22">
        <v>18</v>
      </c>
    </row>
    <row r="42" spans="1:34" x14ac:dyDescent="0.3">
      <c r="A42" s="12" t="s">
        <v>117</v>
      </c>
      <c r="H42" s="12" t="s">
        <v>118</v>
      </c>
      <c r="O42" s="12" t="s">
        <v>119</v>
      </c>
    </row>
    <row r="43" spans="1:34" x14ac:dyDescent="0.3">
      <c r="A43" t="s">
        <v>3</v>
      </c>
      <c r="B43" t="s">
        <v>33</v>
      </c>
      <c r="C43" t="s">
        <v>34</v>
      </c>
      <c r="D43" t="s">
        <v>35</v>
      </c>
      <c r="E43" t="s">
        <v>36</v>
      </c>
      <c r="F43" t="s">
        <v>37</v>
      </c>
      <c r="I43" t="s">
        <v>33</v>
      </c>
      <c r="J43" t="s">
        <v>34</v>
      </c>
      <c r="K43" t="s">
        <v>35</v>
      </c>
      <c r="L43" t="s">
        <v>36</v>
      </c>
      <c r="M43" t="s">
        <v>37</v>
      </c>
      <c r="P43" t="s">
        <v>33</v>
      </c>
      <c r="Q43" t="s">
        <v>34</v>
      </c>
      <c r="R43" t="s">
        <v>35</v>
      </c>
      <c r="S43" t="s">
        <v>36</v>
      </c>
      <c r="T43" t="s">
        <v>37</v>
      </c>
    </row>
    <row r="44" spans="1:34" x14ac:dyDescent="0.3">
      <c r="A44">
        <v>1</v>
      </c>
      <c r="B44" s="24">
        <f>+C26*(1+C36)</f>
        <v>53.937499999999993</v>
      </c>
      <c r="C44" s="1">
        <f>+C28</f>
        <v>0.7</v>
      </c>
      <c r="D44" s="2">
        <f>+C23</f>
        <v>0.25</v>
      </c>
      <c r="E44" s="26">
        <f>B44*(1-C44)*(1-D44)</f>
        <v>12.135937499999999</v>
      </c>
      <c r="F44" s="26">
        <f>E44/(1+$C$33)^A44</f>
        <v>11.314504475107215</v>
      </c>
      <c r="H44">
        <v>1</v>
      </c>
      <c r="I44" s="24">
        <f>+D26*(1+D36)</f>
        <v>26.968749999999996</v>
      </c>
      <c r="J44" s="1">
        <f>+D28</f>
        <v>0.7</v>
      </c>
      <c r="K44" s="2">
        <f>+D23</f>
        <v>0.25</v>
      </c>
      <c r="L44" s="26">
        <f>I44*(1-J44)*(1-K44)</f>
        <v>6.0679687499999995</v>
      </c>
      <c r="M44" s="26">
        <f>L44/(1+$D$33)^H44</f>
        <v>5.6572522375536076</v>
      </c>
      <c r="O44">
        <v>1</v>
      </c>
      <c r="P44" s="24">
        <f>(C26+D26+Q41)*(1+C36)</f>
        <v>100.32374999999999</v>
      </c>
      <c r="Q44" s="1">
        <f>+C35</f>
        <v>0.7</v>
      </c>
      <c r="R44" s="2">
        <f>+C23</f>
        <v>0.25</v>
      </c>
      <c r="S44" s="26">
        <f>P44*(1-Q44)*(1-R44)</f>
        <v>22.572843750000001</v>
      </c>
      <c r="T44" s="26">
        <f>S44/(1+$D$33)^O44</f>
        <v>21.044978323699421</v>
      </c>
      <c r="U44" s="41" t="s">
        <v>55</v>
      </c>
      <c r="V44" s="41"/>
      <c r="W44" s="41"/>
      <c r="X44" s="41"/>
      <c r="Y44" s="41"/>
      <c r="Z44" s="41"/>
      <c r="AA44" s="41"/>
      <c r="AB44" s="41"/>
      <c r="AC44" s="41"/>
      <c r="AD44" s="41"/>
      <c r="AE44" s="41"/>
      <c r="AF44" s="41"/>
      <c r="AG44" s="41"/>
      <c r="AH44" s="41"/>
    </row>
    <row r="45" spans="1:34" x14ac:dyDescent="0.3">
      <c r="A45">
        <v>2</v>
      </c>
      <c r="B45" s="26">
        <f>B44*(1+$C$36)</f>
        <v>58.185078124999983</v>
      </c>
      <c r="C45" s="1">
        <f>+C44</f>
        <v>0.7</v>
      </c>
      <c r="D45" s="2">
        <f>+D44</f>
        <v>0.25</v>
      </c>
      <c r="E45" s="26">
        <f t="shared" ref="E45:E48" si="0">B45*(1-C45)*(1-D45)</f>
        <v>13.091642578124999</v>
      </c>
      <c r="F45" s="26">
        <f t="shared" ref="F45:F48" si="1">E45/(1+$C$33)^A45</f>
        <v>11.379378801530775</v>
      </c>
      <c r="H45">
        <v>2</v>
      </c>
      <c r="I45" s="26">
        <f>I44*(1+$D$36)</f>
        <v>29.092539062499991</v>
      </c>
      <c r="J45" s="1">
        <f>+J44</f>
        <v>0.7</v>
      </c>
      <c r="K45" s="2">
        <f>+K44</f>
        <v>0.25</v>
      </c>
      <c r="L45" s="26">
        <f t="shared" ref="L45:L48" si="2">I45*(1-J45)*(1-K45)</f>
        <v>6.5458212890624994</v>
      </c>
      <c r="M45" s="26">
        <f t="shared" ref="M45:M48" si="3">L45/(1+$D$33)^H45</f>
        <v>5.6896894007653875</v>
      </c>
      <c r="O45">
        <v>2</v>
      </c>
      <c r="P45" s="26">
        <f>P44*(1+$C$36)</f>
        <v>108.22424531249997</v>
      </c>
      <c r="Q45" s="1">
        <f>+Q44</f>
        <v>0.7</v>
      </c>
      <c r="R45" s="2">
        <f>+R44</f>
        <v>0.25</v>
      </c>
      <c r="S45" s="26">
        <f t="shared" ref="S45:S48" si="4">P45*(1-Q45)*(1-R45)</f>
        <v>24.350455195312495</v>
      </c>
      <c r="T45" s="26">
        <f t="shared" ref="T45:T48" si="5">S45/(1+$D$33)^O45</f>
        <v>21.165644570847238</v>
      </c>
    </row>
    <row r="46" spans="1:34" x14ac:dyDescent="0.3">
      <c r="A46">
        <v>3</v>
      </c>
      <c r="B46" s="26">
        <f t="shared" ref="B46:B48" si="6">B45*(1+$C$36)</f>
        <v>62.767153027343724</v>
      </c>
      <c r="C46" s="1">
        <f t="shared" ref="C46:D49" si="7">+C45</f>
        <v>0.7</v>
      </c>
      <c r="D46" s="2">
        <f t="shared" si="7"/>
        <v>0.25</v>
      </c>
      <c r="E46" s="26">
        <f t="shared" si="0"/>
        <v>14.122609431152341</v>
      </c>
      <c r="F46" s="26">
        <f t="shared" si="1"/>
        <v>11.444625099898678</v>
      </c>
      <c r="H46">
        <v>3</v>
      </c>
      <c r="I46" s="26">
        <f t="shared" ref="I46:I48" si="8">I45*(1+$D$36)</f>
        <v>31.383576513671862</v>
      </c>
      <c r="J46" s="1">
        <f t="shared" ref="J46:K49" si="9">+J45</f>
        <v>0.7</v>
      </c>
      <c r="K46" s="2">
        <f t="shared" si="9"/>
        <v>0.25</v>
      </c>
      <c r="L46" s="26">
        <f t="shared" si="2"/>
        <v>7.0613047155761706</v>
      </c>
      <c r="M46" s="26">
        <f t="shared" si="3"/>
        <v>5.722312549949339</v>
      </c>
      <c r="O46">
        <v>3</v>
      </c>
      <c r="P46" s="26">
        <f t="shared" ref="P46:P48" si="10">P45*(1+$C$36)</f>
        <v>116.74690463085933</v>
      </c>
      <c r="Q46" s="1">
        <f t="shared" ref="Q46:R49" si="11">+Q45</f>
        <v>0.7</v>
      </c>
      <c r="R46" s="2">
        <f t="shared" si="11"/>
        <v>0.25</v>
      </c>
      <c r="S46" s="26">
        <f t="shared" si="4"/>
        <v>26.268053541943353</v>
      </c>
      <c r="T46" s="26">
        <f t="shared" si="5"/>
        <v>21.28700268581154</v>
      </c>
    </row>
    <row r="47" spans="1:34" x14ac:dyDescent="0.3">
      <c r="A47">
        <v>4</v>
      </c>
      <c r="B47" s="26">
        <f t="shared" si="6"/>
        <v>67.710066328247038</v>
      </c>
      <c r="C47" s="1">
        <f t="shared" si="7"/>
        <v>0.7</v>
      </c>
      <c r="D47" s="2">
        <f t="shared" si="7"/>
        <v>0.25</v>
      </c>
      <c r="E47" s="26">
        <f t="shared" si="0"/>
        <v>15.234764923855586</v>
      </c>
      <c r="F47" s="26">
        <f t="shared" si="1"/>
        <v>11.510245502998041</v>
      </c>
      <c r="H47">
        <v>4</v>
      </c>
      <c r="I47" s="26">
        <f t="shared" si="8"/>
        <v>33.855033164123519</v>
      </c>
      <c r="J47" s="1">
        <f t="shared" si="9"/>
        <v>0.7</v>
      </c>
      <c r="K47" s="2">
        <f t="shared" si="9"/>
        <v>0.25</v>
      </c>
      <c r="L47" s="26">
        <f t="shared" si="2"/>
        <v>7.617382461927793</v>
      </c>
      <c r="M47" s="26">
        <f t="shared" si="3"/>
        <v>5.7551227514990204</v>
      </c>
      <c r="O47">
        <v>4</v>
      </c>
      <c r="P47" s="26">
        <f t="shared" si="10"/>
        <v>125.94072337053949</v>
      </c>
      <c r="Q47" s="1">
        <f t="shared" si="11"/>
        <v>0.7</v>
      </c>
      <c r="R47" s="2">
        <f t="shared" si="11"/>
        <v>0.25</v>
      </c>
      <c r="S47" s="26">
        <f t="shared" si="4"/>
        <v>28.336662758371389</v>
      </c>
      <c r="T47" s="26">
        <f t="shared" si="5"/>
        <v>21.409056635576356</v>
      </c>
    </row>
    <row r="48" spans="1:34" x14ac:dyDescent="0.3">
      <c r="A48">
        <v>5</v>
      </c>
      <c r="B48" s="26">
        <f t="shared" si="6"/>
        <v>73.042234051596481</v>
      </c>
      <c r="C48" s="1">
        <f t="shared" si="7"/>
        <v>0.7</v>
      </c>
      <c r="D48" s="2">
        <f t="shared" si="7"/>
        <v>0.25</v>
      </c>
      <c r="E48" s="26">
        <f t="shared" si="0"/>
        <v>16.434502661609208</v>
      </c>
      <c r="F48" s="26">
        <f t="shared" si="1"/>
        <v>11.576242155844801</v>
      </c>
      <c r="H48">
        <v>5</v>
      </c>
      <c r="I48" s="26">
        <f t="shared" si="8"/>
        <v>36.52111702579824</v>
      </c>
      <c r="J48" s="1">
        <f t="shared" si="9"/>
        <v>0.7</v>
      </c>
      <c r="K48" s="2">
        <f t="shared" si="9"/>
        <v>0.25</v>
      </c>
      <c r="L48" s="26">
        <f t="shared" si="2"/>
        <v>8.2172513308046042</v>
      </c>
      <c r="M48" s="26">
        <f t="shared" si="3"/>
        <v>5.7881210779224004</v>
      </c>
      <c r="O48">
        <v>5</v>
      </c>
      <c r="P48" s="26">
        <f t="shared" si="10"/>
        <v>135.85855533596947</v>
      </c>
      <c r="Q48" s="1">
        <f t="shared" si="11"/>
        <v>0.7</v>
      </c>
      <c r="R48" s="2">
        <f t="shared" si="11"/>
        <v>0.25</v>
      </c>
      <c r="S48" s="26">
        <f t="shared" si="4"/>
        <v>30.568174950593132</v>
      </c>
      <c r="T48" s="26">
        <f t="shared" si="5"/>
        <v>21.531810409871333</v>
      </c>
    </row>
    <row r="49" spans="1:28" x14ac:dyDescent="0.3">
      <c r="A49">
        <v>6</v>
      </c>
      <c r="B49" s="26">
        <f>B48*(1+C15)</f>
        <v>76.146528998789336</v>
      </c>
      <c r="C49" s="46">
        <f>$C$15/$C$33</f>
        <v>0.58539944903581265</v>
      </c>
      <c r="D49" s="2">
        <f t="shared" si="7"/>
        <v>0.25</v>
      </c>
      <c r="E49" s="26">
        <f>B49*(1-C49)*(1-D49)</f>
        <v>23.677794657681396</v>
      </c>
      <c r="H49">
        <v>6</v>
      </c>
      <c r="I49" s="27">
        <f>I48*(1+C15)</f>
        <v>38.073264499394668</v>
      </c>
      <c r="J49" s="46">
        <f>$C$15/$C$33</f>
        <v>0.58539944903581265</v>
      </c>
      <c r="K49" s="2">
        <f t="shared" si="9"/>
        <v>0.25</v>
      </c>
      <c r="L49" s="26">
        <f>I49*(1-J49)*(1-K49)</f>
        <v>11.838897328840698</v>
      </c>
      <c r="O49">
        <v>6</v>
      </c>
      <c r="P49" s="26">
        <f>P48*(1+C15)</f>
        <v>141.63254393774818</v>
      </c>
      <c r="Q49" s="46">
        <f>+C15/D33</f>
        <v>0.58539944903581265</v>
      </c>
      <c r="R49" s="2">
        <f t="shared" si="11"/>
        <v>0.25</v>
      </c>
      <c r="S49" s="26">
        <f>P49*(1-Q49)*(1-R49)</f>
        <v>44.040698063287401</v>
      </c>
    </row>
    <row r="50" spans="1:28" x14ac:dyDescent="0.3">
      <c r="A50" t="s">
        <v>38</v>
      </c>
      <c r="B50" s="28">
        <f>E49/(C33-C15)</f>
        <v>786.63769626848466</v>
      </c>
      <c r="H50" t="s">
        <v>38</v>
      </c>
      <c r="I50" s="27">
        <f>L49/(C33-C15)</f>
        <v>393.31884813424233</v>
      </c>
      <c r="O50" t="s">
        <v>38</v>
      </c>
      <c r="P50" s="27">
        <f>S49/(+C33-C15)</f>
        <v>1463.1461150593816</v>
      </c>
    </row>
    <row r="51" spans="1:28" x14ac:dyDescent="0.3">
      <c r="B51" s="28"/>
    </row>
    <row r="52" spans="1:28" x14ac:dyDescent="0.3">
      <c r="A52" t="s">
        <v>39</v>
      </c>
      <c r="B52" s="29">
        <f>SUM(F44:F48)</f>
        <v>57.224996035379512</v>
      </c>
      <c r="H52" t="s">
        <v>39</v>
      </c>
      <c r="I52" s="29">
        <f>SUM(M44:M48)</f>
        <v>28.612498017689756</v>
      </c>
      <c r="O52" t="s">
        <v>39</v>
      </c>
      <c r="P52" s="28">
        <f>SUM(T44:T48)</f>
        <v>106.43849262580588</v>
      </c>
      <c r="T52" s="6" t="s">
        <v>51</v>
      </c>
      <c r="U52" s="28">
        <f>P54</f>
        <v>1137.0588944757073</v>
      </c>
    </row>
    <row r="53" spans="1:28" ht="15" thickBot="1" x14ac:dyDescent="0.35">
      <c r="A53" t="s">
        <v>40</v>
      </c>
      <c r="B53" s="30">
        <f>B50/(1+C33)^5</f>
        <v>554.09699024188251</v>
      </c>
      <c r="D53" s="25"/>
      <c r="E53" s="26"/>
      <c r="F53" s="26"/>
      <c r="H53" t="s">
        <v>40</v>
      </c>
      <c r="I53" s="28">
        <f>I50/(1+C33)^5</f>
        <v>277.04849512094125</v>
      </c>
      <c r="O53" t="s">
        <v>40</v>
      </c>
      <c r="P53" s="28">
        <f>P50/(1+C33)^5</f>
        <v>1030.6204018499016</v>
      </c>
      <c r="T53" s="6" t="s">
        <v>32</v>
      </c>
      <c r="U53" s="28">
        <f>++B54+I54</f>
        <v>916.98297941589294</v>
      </c>
      <c r="V53" s="12"/>
    </row>
    <row r="54" spans="1:28" ht="15" thickBot="1" x14ac:dyDescent="0.35">
      <c r="A54" t="s">
        <v>0</v>
      </c>
      <c r="B54" s="28">
        <f>SUM(B52:B53)</f>
        <v>611.321986277262</v>
      </c>
      <c r="H54" t="s">
        <v>0</v>
      </c>
      <c r="I54" s="28">
        <f>SUM(I52:I53)</f>
        <v>305.660993138631</v>
      </c>
      <c r="O54" t="s">
        <v>0</v>
      </c>
      <c r="P54" s="36">
        <f>P52+P53</f>
        <v>1137.0588944757073</v>
      </c>
      <c r="S54" s="41"/>
      <c r="T54" s="64" t="s">
        <v>129</v>
      </c>
      <c r="U54" s="36">
        <f>U52-U53</f>
        <v>220.07591505981441</v>
      </c>
    </row>
    <row r="56" spans="1:28" x14ac:dyDescent="0.3">
      <c r="B56" s="14"/>
      <c r="C56" s="14"/>
      <c r="D56" s="14"/>
      <c r="E56" s="14"/>
      <c r="G56" s="14"/>
      <c r="H56" s="14"/>
      <c r="I56" s="14"/>
      <c r="J56" s="14"/>
      <c r="L56" s="14"/>
      <c r="M56" s="14"/>
      <c r="N56" s="14"/>
      <c r="O56" s="14"/>
      <c r="S56" s="41" t="s">
        <v>132</v>
      </c>
      <c r="T56" s="41"/>
      <c r="U56" s="41"/>
      <c r="V56" s="41"/>
      <c r="W56" s="41"/>
      <c r="X56" s="41"/>
      <c r="Y56" s="41"/>
      <c r="Z56" s="41"/>
      <c r="AA56" s="41"/>
      <c r="AB56" s="41"/>
    </row>
    <row r="57" spans="1:28" x14ac:dyDescent="0.3">
      <c r="C57" s="6"/>
      <c r="D57" s="10"/>
      <c r="E57" s="10"/>
      <c r="F57" s="10"/>
      <c r="G57" s="10"/>
      <c r="H57" s="10"/>
      <c r="I57" s="10"/>
      <c r="J57" s="10"/>
      <c r="K57" s="10"/>
      <c r="L57" s="10"/>
      <c r="M57" s="9"/>
      <c r="S57" s="41" t="s">
        <v>131</v>
      </c>
      <c r="T57" s="41"/>
      <c r="U57" s="41"/>
      <c r="V57" s="41"/>
      <c r="W57" s="41"/>
      <c r="X57" s="41"/>
      <c r="Y57" s="41"/>
      <c r="Z57" s="41"/>
      <c r="AA57" s="41"/>
      <c r="AB57" s="41"/>
    </row>
    <row r="58" spans="1:28" x14ac:dyDescent="0.3">
      <c r="D58" s="6"/>
      <c r="E58" s="34"/>
    </row>
    <row r="59" spans="1:28" x14ac:dyDescent="0.3">
      <c r="A59" t="s">
        <v>120</v>
      </c>
    </row>
    <row r="60" spans="1:28" x14ac:dyDescent="0.3">
      <c r="A60" t="s">
        <v>121</v>
      </c>
      <c r="C60" s="26">
        <v>600</v>
      </c>
    </row>
    <row r="61" spans="1:28" x14ac:dyDescent="0.3">
      <c r="A61" t="s">
        <v>122</v>
      </c>
      <c r="C61" s="26">
        <f>-I54</f>
        <v>-305.660993138631</v>
      </c>
    </row>
    <row r="62" spans="1:28" x14ac:dyDescent="0.3">
      <c r="A62" t="s">
        <v>123</v>
      </c>
      <c r="C62" s="26">
        <f>-U54</f>
        <v>-220.07591505981441</v>
      </c>
    </row>
    <row r="63" spans="1:28" x14ac:dyDescent="0.3">
      <c r="A63" t="s">
        <v>124</v>
      </c>
      <c r="C63" s="26">
        <v>-12</v>
      </c>
    </row>
    <row r="64" spans="1:28" ht="15" thickBot="1" x14ac:dyDescent="0.35">
      <c r="A64" t="s">
        <v>125</v>
      </c>
      <c r="C64" s="26">
        <v>-8</v>
      </c>
    </row>
    <row r="65" spans="1:3" ht="15" thickBot="1" x14ac:dyDescent="0.35">
      <c r="A65" t="s">
        <v>126</v>
      </c>
      <c r="C65" s="66">
        <f>SUM(C60:C64)</f>
        <v>54.263091801554594</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D194A-BDDA-44EC-85D9-85DDB2D0BBDD}">
  <sheetPr codeName="Sheet122">
    <tabColor theme="5" tint="0.39997558519241921"/>
  </sheetPr>
  <dimension ref="A1:U59"/>
  <sheetViews>
    <sheetView zoomScale="115" zoomScaleNormal="115" workbookViewId="0"/>
  </sheetViews>
  <sheetFormatPr defaultRowHeight="14.4" x14ac:dyDescent="0.3"/>
  <cols>
    <col min="2" max="2" width="17.77734375" customWidth="1"/>
    <col min="3" max="3" width="14.77734375" customWidth="1"/>
    <col min="4" max="4" width="16.33203125" customWidth="1"/>
    <col min="5" max="5" width="11.21875" customWidth="1"/>
    <col min="6" max="6" width="14.77734375" customWidth="1"/>
    <col min="7" max="7" width="17.77734375" customWidth="1"/>
    <col min="8" max="8" width="11.21875" customWidth="1"/>
    <col min="9" max="10" width="13.77734375" customWidth="1"/>
    <col min="12" max="13" width="11.21875" customWidth="1"/>
    <col min="16" max="21" width="12.21875" bestFit="1" customWidth="1"/>
    <col min="22" max="22" width="12" bestFit="1" customWidth="1"/>
    <col min="23" max="24" width="10" bestFit="1" customWidth="1"/>
    <col min="26" max="28" width="12" bestFit="1" customWidth="1"/>
  </cols>
  <sheetData>
    <row r="1" spans="1:8" x14ac:dyDescent="0.3">
      <c r="A1" s="7" t="s">
        <v>1</v>
      </c>
      <c r="B1" s="6"/>
      <c r="C1" s="9"/>
      <c r="D1" s="9"/>
      <c r="E1" s="9"/>
    </row>
    <row r="2" spans="1:8" x14ac:dyDescent="0.3">
      <c r="A2" t="s">
        <v>150</v>
      </c>
      <c r="B2" s="6"/>
      <c r="C2" s="9"/>
      <c r="D2" s="9"/>
      <c r="E2" s="9"/>
    </row>
    <row r="3" spans="1:8" x14ac:dyDescent="0.3">
      <c r="B3" s="6"/>
      <c r="C3" s="9"/>
      <c r="D3" s="9"/>
      <c r="E3" s="9"/>
    </row>
    <row r="4" spans="1:8" x14ac:dyDescent="0.3">
      <c r="A4" t="s">
        <v>153</v>
      </c>
      <c r="B4" s="6"/>
      <c r="C4" s="9"/>
      <c r="D4" s="9"/>
      <c r="E4" s="9"/>
    </row>
    <row r="5" spans="1:8" x14ac:dyDescent="0.3">
      <c r="A5" t="s">
        <v>154</v>
      </c>
      <c r="B5" s="6"/>
      <c r="C5" s="9"/>
      <c r="D5" s="9"/>
      <c r="E5" s="9"/>
    </row>
    <row r="6" spans="1:8" x14ac:dyDescent="0.3">
      <c r="A6" t="s">
        <v>155</v>
      </c>
      <c r="B6" s="6"/>
      <c r="C6" s="9"/>
      <c r="D6" s="9"/>
      <c r="E6" s="9"/>
    </row>
    <row r="7" spans="1:8" x14ac:dyDescent="0.3">
      <c r="A7" t="s">
        <v>161</v>
      </c>
      <c r="B7" s="6"/>
      <c r="C7" s="9">
        <v>9000</v>
      </c>
      <c r="D7" s="9"/>
      <c r="E7" s="9"/>
    </row>
    <row r="8" spans="1:8" x14ac:dyDescent="0.3">
      <c r="A8" t="s">
        <v>162</v>
      </c>
      <c r="B8" s="6"/>
      <c r="C8" s="9"/>
      <c r="D8" s="9"/>
      <c r="E8" s="9"/>
    </row>
    <row r="9" spans="1:8" x14ac:dyDescent="0.3">
      <c r="B9" s="6"/>
      <c r="C9" s="9"/>
      <c r="D9" s="9"/>
      <c r="E9" s="9"/>
    </row>
    <row r="10" spans="1:8" x14ac:dyDescent="0.3">
      <c r="B10" s="6"/>
      <c r="C10" s="9"/>
      <c r="D10" s="9"/>
      <c r="E10" s="9"/>
    </row>
    <row r="11" spans="1:8" x14ac:dyDescent="0.3">
      <c r="A11" s="78" t="s">
        <v>140</v>
      </c>
      <c r="B11" s="79" t="s">
        <v>141</v>
      </c>
      <c r="C11" s="9"/>
      <c r="D11" s="9"/>
      <c r="E11" s="9"/>
      <c r="G11" s="12"/>
      <c r="H11" s="86"/>
    </row>
    <row r="12" spans="1:8" x14ac:dyDescent="0.3">
      <c r="A12" s="77">
        <v>0.03</v>
      </c>
      <c r="B12" s="72">
        <v>0</v>
      </c>
      <c r="D12" s="9" t="s">
        <v>142</v>
      </c>
      <c r="E12" s="9"/>
    </row>
    <row r="13" spans="1:8" x14ac:dyDescent="0.3">
      <c r="A13" s="77">
        <v>0.08</v>
      </c>
      <c r="B13" s="72">
        <v>1000</v>
      </c>
      <c r="D13" s="9" t="s">
        <v>158</v>
      </c>
      <c r="E13" s="5">
        <v>3.5</v>
      </c>
      <c r="G13" s="2"/>
      <c r="H13" s="9"/>
    </row>
    <row r="14" spans="1:8" x14ac:dyDescent="0.3">
      <c r="A14" s="77">
        <v>0.1</v>
      </c>
      <c r="B14" s="72">
        <v>2000</v>
      </c>
      <c r="D14" s="9" t="s">
        <v>159</v>
      </c>
      <c r="E14" s="5">
        <v>0.25</v>
      </c>
      <c r="G14" s="2"/>
      <c r="H14" s="9"/>
    </row>
    <row r="15" spans="1:8" x14ac:dyDescent="0.3">
      <c r="A15" s="77">
        <v>0.2</v>
      </c>
      <c r="B15" s="72">
        <v>3000</v>
      </c>
      <c r="D15" s="9"/>
      <c r="E15" s="9"/>
      <c r="G15" s="2"/>
      <c r="H15" s="9"/>
    </row>
    <row r="16" spans="1:8" x14ac:dyDescent="0.3">
      <c r="A16" s="77">
        <v>0.33</v>
      </c>
      <c r="B16" s="72">
        <v>4000</v>
      </c>
      <c r="D16" s="9"/>
      <c r="E16" s="9"/>
      <c r="G16" s="2"/>
      <c r="H16" s="9"/>
    </row>
    <row r="17" spans="1:8" x14ac:dyDescent="0.3">
      <c r="A17" s="77">
        <v>0.2</v>
      </c>
      <c r="B17" s="72">
        <v>5000</v>
      </c>
      <c r="D17" s="9"/>
      <c r="E17" s="9"/>
      <c r="G17" s="2"/>
      <c r="H17" s="9"/>
    </row>
    <row r="18" spans="1:8" x14ac:dyDescent="0.3">
      <c r="A18" s="77">
        <v>0.06</v>
      </c>
      <c r="B18" s="72">
        <v>6000</v>
      </c>
      <c r="D18" s="9"/>
      <c r="E18" s="9"/>
      <c r="G18" s="2"/>
      <c r="H18" s="9"/>
    </row>
    <row r="19" spans="1:8" x14ac:dyDescent="0.3">
      <c r="A19" s="2">
        <f>SUM(A12:A18)</f>
        <v>1</v>
      </c>
      <c r="B19" s="6"/>
      <c r="C19" s="9"/>
      <c r="D19" s="9"/>
      <c r="E19" s="9"/>
      <c r="G19" s="2"/>
    </row>
    <row r="20" spans="1:8" x14ac:dyDescent="0.3">
      <c r="D20" s="9"/>
      <c r="E20" s="9"/>
    </row>
    <row r="21" spans="1:8" x14ac:dyDescent="0.3">
      <c r="A21" t="s">
        <v>144</v>
      </c>
      <c r="B21" s="6"/>
      <c r="C21" s="9"/>
      <c r="E21" s="9"/>
    </row>
    <row r="22" spans="1:8" x14ac:dyDescent="0.3">
      <c r="A22" t="s">
        <v>156</v>
      </c>
      <c r="B22" s="6"/>
      <c r="C22" s="9">
        <v>3900</v>
      </c>
      <c r="D22" s="81" t="s">
        <v>152</v>
      </c>
      <c r="E22" s="9"/>
    </row>
    <row r="23" spans="1:8" x14ac:dyDescent="0.3">
      <c r="A23" t="s">
        <v>145</v>
      </c>
      <c r="B23" s="6"/>
      <c r="C23" s="9">
        <f>+C7</f>
        <v>9000</v>
      </c>
      <c r="D23" s="9"/>
      <c r="E23" s="9"/>
    </row>
    <row r="24" spans="1:8" x14ac:dyDescent="0.3">
      <c r="D24" s="9"/>
      <c r="E24" s="9"/>
    </row>
    <row r="25" spans="1:8" x14ac:dyDescent="0.3">
      <c r="A25" t="s">
        <v>160</v>
      </c>
      <c r="D25" s="9"/>
      <c r="E25" s="9"/>
    </row>
    <row r="26" spans="1:8" x14ac:dyDescent="0.3">
      <c r="A26" t="s">
        <v>163</v>
      </c>
      <c r="D26" s="9"/>
      <c r="E26" s="9"/>
      <c r="H26" s="22">
        <v>1000</v>
      </c>
    </row>
    <row r="27" spans="1:8" x14ac:dyDescent="0.3">
      <c r="A27" t="s">
        <v>146</v>
      </c>
      <c r="D27" s="9"/>
      <c r="E27" s="9"/>
    </row>
    <row r="28" spans="1:8" x14ac:dyDescent="0.3">
      <c r="A28" t="s">
        <v>147</v>
      </c>
      <c r="B28" s="6"/>
      <c r="C28" s="9"/>
      <c r="D28" s="9"/>
      <c r="E28" s="9"/>
    </row>
    <row r="29" spans="1:8" x14ac:dyDescent="0.3">
      <c r="B29" s="6"/>
      <c r="C29" s="9"/>
      <c r="D29" s="9"/>
      <c r="E29" s="9"/>
    </row>
    <row r="30" spans="1:8" x14ac:dyDescent="0.3">
      <c r="A30" s="68"/>
      <c r="B30" s="70" t="s">
        <v>164</v>
      </c>
      <c r="C30" s="70" t="s">
        <v>135</v>
      </c>
      <c r="D30" s="70" t="s">
        <v>136</v>
      </c>
      <c r="E30" s="70" t="s">
        <v>165</v>
      </c>
      <c r="F30" s="70" t="s">
        <v>137</v>
      </c>
      <c r="G30" s="73" t="s">
        <v>138</v>
      </c>
    </row>
    <row r="31" spans="1:8" x14ac:dyDescent="0.3">
      <c r="A31" s="69" t="s">
        <v>133</v>
      </c>
      <c r="B31" s="71" t="s">
        <v>134</v>
      </c>
      <c r="C31" s="71" t="s">
        <v>166</v>
      </c>
      <c r="D31" s="71" t="s">
        <v>157</v>
      </c>
      <c r="E31" s="71" t="s">
        <v>134</v>
      </c>
      <c r="F31" s="71" t="s">
        <v>167</v>
      </c>
      <c r="G31" s="11" t="s">
        <v>139</v>
      </c>
    </row>
    <row r="32" spans="1:8" x14ac:dyDescent="0.3">
      <c r="A32" s="20">
        <v>1</v>
      </c>
      <c r="B32" s="20">
        <v>0.3352</v>
      </c>
      <c r="C32" s="72"/>
      <c r="D32" s="72"/>
      <c r="E32" s="20">
        <v>0.3236</v>
      </c>
      <c r="F32" s="75"/>
      <c r="G32" s="74"/>
    </row>
    <row r="33" spans="1:21" x14ac:dyDescent="0.3">
      <c r="A33" s="20">
        <v>2</v>
      </c>
      <c r="B33" s="20">
        <v>0.40150000000000002</v>
      </c>
      <c r="C33" s="72"/>
      <c r="D33" s="72"/>
      <c r="E33" s="20">
        <v>0.13550000000000001</v>
      </c>
      <c r="F33" s="75"/>
      <c r="G33" s="74"/>
    </row>
    <row r="34" spans="1:21" x14ac:dyDescent="0.3">
      <c r="A34" s="20">
        <v>3</v>
      </c>
      <c r="B34" s="20">
        <v>0.14460000000000001</v>
      </c>
      <c r="C34" s="72"/>
      <c r="D34" s="72"/>
      <c r="E34" s="20">
        <v>0.51919999999999999</v>
      </c>
      <c r="F34" s="75"/>
      <c r="G34" s="74"/>
    </row>
    <row r="35" spans="1:21" x14ac:dyDescent="0.3">
      <c r="A35" s="20">
        <v>4</v>
      </c>
      <c r="B35" s="20">
        <v>0.43230000000000002</v>
      </c>
      <c r="C35" s="72"/>
      <c r="D35" s="72"/>
      <c r="E35" s="20">
        <v>0.97260000000000002</v>
      </c>
      <c r="F35" s="75"/>
      <c r="G35" s="74"/>
    </row>
    <row r="36" spans="1:21" x14ac:dyDescent="0.3">
      <c r="A36" s="20">
        <v>5</v>
      </c>
      <c r="B36" s="20">
        <v>3.5799999999999998E-2</v>
      </c>
      <c r="C36" s="72"/>
      <c r="D36" s="72"/>
      <c r="E36" s="20">
        <v>5.6500000000000002E-2</v>
      </c>
      <c r="F36" s="75"/>
      <c r="G36" s="74"/>
    </row>
    <row r="37" spans="1:21" x14ac:dyDescent="0.3">
      <c r="A37" s="20">
        <v>6</v>
      </c>
      <c r="B37" s="20">
        <v>0.49990000000000001</v>
      </c>
      <c r="C37" s="72"/>
      <c r="D37" s="72"/>
      <c r="E37" s="20">
        <v>0.20699999999999999</v>
      </c>
      <c r="F37" s="75"/>
      <c r="G37" s="74"/>
    </row>
    <row r="38" spans="1:21" x14ac:dyDescent="0.3">
      <c r="A38" s="20">
        <v>7</v>
      </c>
      <c r="B38" s="20">
        <v>0.88080000000000003</v>
      </c>
      <c r="C38" s="72"/>
      <c r="D38" s="72"/>
      <c r="E38" s="20">
        <v>0.24809999999999999</v>
      </c>
      <c r="F38" s="75"/>
      <c r="G38" s="74"/>
    </row>
    <row r="39" spans="1:21" x14ac:dyDescent="0.3">
      <c r="A39" s="20">
        <v>8</v>
      </c>
      <c r="B39" s="20">
        <v>0.90129999999999999</v>
      </c>
      <c r="C39" s="72"/>
      <c r="D39" s="72"/>
      <c r="E39" s="20">
        <v>0.80169999999999997</v>
      </c>
      <c r="F39" s="75"/>
      <c r="G39" s="74"/>
    </row>
    <row r="40" spans="1:21" x14ac:dyDescent="0.3">
      <c r="A40" s="20">
        <v>9</v>
      </c>
      <c r="B40" s="20">
        <v>0.4602</v>
      </c>
      <c r="C40" s="72"/>
      <c r="D40" s="72"/>
      <c r="E40" s="20">
        <v>0.26440000000000002</v>
      </c>
      <c r="F40" s="75"/>
      <c r="G40" s="74"/>
    </row>
    <row r="41" spans="1:21" x14ac:dyDescent="0.3">
      <c r="A41" s="20">
        <v>10</v>
      </c>
      <c r="B41" s="20">
        <v>0.34889999999999999</v>
      </c>
      <c r="C41" s="72"/>
      <c r="D41" s="72"/>
      <c r="E41" s="20">
        <v>0.28510000000000002</v>
      </c>
      <c r="F41" s="75"/>
      <c r="G41" s="74"/>
    </row>
    <row r="42" spans="1:21" x14ac:dyDescent="0.3">
      <c r="A42" s="20">
        <v>11</v>
      </c>
      <c r="B42" s="20">
        <v>0.42120000000000002</v>
      </c>
      <c r="C42" s="72"/>
      <c r="D42" s="72"/>
      <c r="E42" s="20">
        <v>0.71919999999999995</v>
      </c>
      <c r="F42" s="75"/>
      <c r="G42" s="74"/>
    </row>
    <row r="43" spans="1:21" x14ac:dyDescent="0.3">
      <c r="A43" s="20">
        <v>12</v>
      </c>
      <c r="B43" s="20">
        <v>0.72670000000000001</v>
      </c>
      <c r="C43" s="72"/>
      <c r="D43" s="72"/>
      <c r="E43" s="20">
        <v>0.72460000000000002</v>
      </c>
      <c r="F43" s="75"/>
      <c r="G43" s="74"/>
      <c r="P43" s="9"/>
      <c r="Q43" s="9"/>
      <c r="R43" s="9"/>
      <c r="S43" s="9"/>
      <c r="T43" s="9"/>
      <c r="U43" s="9"/>
    </row>
    <row r="44" spans="1:21" x14ac:dyDescent="0.3">
      <c r="A44" s="20">
        <v>13</v>
      </c>
      <c r="B44" s="20">
        <v>0.94210000000000005</v>
      </c>
      <c r="C44" s="72"/>
      <c r="D44" s="72"/>
      <c r="E44" s="20">
        <v>0.99209999999999998</v>
      </c>
      <c r="F44" s="75"/>
      <c r="G44" s="74"/>
      <c r="P44" s="9"/>
      <c r="Q44" s="9"/>
      <c r="R44" s="9"/>
      <c r="S44" s="9"/>
      <c r="T44" s="9"/>
      <c r="U44" s="9"/>
    </row>
    <row r="45" spans="1:21" x14ac:dyDescent="0.3">
      <c r="A45" s="20">
        <v>14</v>
      </c>
      <c r="B45" s="20">
        <v>0.70589999999999997</v>
      </c>
      <c r="C45" s="72"/>
      <c r="D45" s="72"/>
      <c r="E45" s="20">
        <v>0.52270000000000005</v>
      </c>
      <c r="F45" s="75"/>
      <c r="G45" s="74"/>
      <c r="P45" s="9"/>
      <c r="Q45" s="9"/>
      <c r="R45" s="9"/>
      <c r="S45" s="9"/>
      <c r="T45" s="9"/>
      <c r="U45" s="9"/>
    </row>
    <row r="46" spans="1:21" x14ac:dyDescent="0.3">
      <c r="A46" s="20">
        <v>15</v>
      </c>
      <c r="B46" s="20">
        <v>0.1024</v>
      </c>
      <c r="C46" s="72"/>
      <c r="D46" s="72"/>
      <c r="E46" s="20">
        <v>5.5300000000000002E-2</v>
      </c>
      <c r="F46" s="75"/>
      <c r="G46" s="74"/>
      <c r="P46" s="9"/>
      <c r="Q46" s="9"/>
      <c r="R46" s="9"/>
      <c r="S46" s="9"/>
      <c r="T46" s="9"/>
      <c r="U46" s="9"/>
    </row>
    <row r="47" spans="1:21" x14ac:dyDescent="0.3">
      <c r="A47" s="20">
        <v>16</v>
      </c>
      <c r="B47" s="20">
        <v>0.24779999999999999</v>
      </c>
      <c r="C47" s="72"/>
      <c r="D47" s="72"/>
      <c r="E47" s="20">
        <v>0.59150000000000003</v>
      </c>
      <c r="F47" s="75"/>
      <c r="G47" s="74"/>
      <c r="P47" s="9"/>
      <c r="Q47" s="9"/>
      <c r="R47" s="9"/>
      <c r="S47" s="9"/>
      <c r="T47" s="9"/>
      <c r="U47" s="9"/>
    </row>
    <row r="48" spans="1:21" x14ac:dyDescent="0.3">
      <c r="A48" s="20">
        <v>17</v>
      </c>
      <c r="B48" s="20">
        <v>0.59399999999999997</v>
      </c>
      <c r="C48" s="72"/>
      <c r="D48" s="72"/>
      <c r="E48" s="20">
        <v>8.9300000000000004E-2</v>
      </c>
      <c r="F48" s="75"/>
      <c r="G48" s="74"/>
      <c r="P48" s="9"/>
      <c r="Q48" s="9"/>
      <c r="R48" s="9"/>
      <c r="S48" s="9"/>
      <c r="T48" s="9"/>
      <c r="U48" s="9"/>
    </row>
    <row r="49" spans="1:21" x14ac:dyDescent="0.3">
      <c r="A49" s="20">
        <v>18</v>
      </c>
      <c r="B49" s="20">
        <v>0.44590000000000002</v>
      </c>
      <c r="C49" s="72"/>
      <c r="D49" s="72"/>
      <c r="E49" s="20">
        <v>0.31359999999999999</v>
      </c>
      <c r="F49" s="75"/>
      <c r="G49" s="74"/>
      <c r="P49" s="9"/>
      <c r="Q49" s="9"/>
      <c r="R49" s="9"/>
      <c r="S49" s="9"/>
      <c r="T49" s="9"/>
      <c r="U49" s="9"/>
    </row>
    <row r="50" spans="1:21" x14ac:dyDescent="0.3">
      <c r="A50" s="20">
        <v>19</v>
      </c>
      <c r="B50" s="20">
        <v>5.11E-2</v>
      </c>
      <c r="C50" s="72"/>
      <c r="D50" s="72"/>
      <c r="E50" s="20">
        <v>7.0099999999999996E-2</v>
      </c>
      <c r="F50" s="75"/>
      <c r="G50" s="74"/>
    </row>
    <row r="51" spans="1:21" x14ac:dyDescent="0.3">
      <c r="A51" s="20">
        <v>20</v>
      </c>
      <c r="B51" s="20">
        <v>0.66180000000000005</v>
      </c>
      <c r="C51" s="72"/>
      <c r="D51" s="72"/>
      <c r="E51" s="20">
        <v>0.83089999999999997</v>
      </c>
      <c r="F51" s="75"/>
      <c r="G51" s="74"/>
    </row>
    <row r="52" spans="1:21" x14ac:dyDescent="0.3">
      <c r="A52" s="20">
        <v>17</v>
      </c>
      <c r="B52" s="20">
        <v>0.59399999999999997</v>
      </c>
      <c r="C52" s="72"/>
      <c r="D52" s="72"/>
      <c r="E52" s="20">
        <v>8.9300000000000004E-2</v>
      </c>
      <c r="F52" s="75"/>
      <c r="G52" s="74"/>
    </row>
    <row r="53" spans="1:21" x14ac:dyDescent="0.3">
      <c r="A53" s="20">
        <v>18</v>
      </c>
      <c r="B53" s="20">
        <v>0.44590000000000002</v>
      </c>
      <c r="C53" s="72"/>
      <c r="D53" s="72"/>
      <c r="E53" s="20">
        <v>0.31359999999999999</v>
      </c>
      <c r="F53" s="75"/>
      <c r="G53" s="74"/>
    </row>
    <row r="54" spans="1:21" x14ac:dyDescent="0.3">
      <c r="A54" s="20">
        <v>19</v>
      </c>
      <c r="B54" s="20">
        <v>5.11E-2</v>
      </c>
      <c r="C54" s="72"/>
      <c r="D54" s="72"/>
      <c r="E54" s="20">
        <v>7.0099999999999996E-2</v>
      </c>
      <c r="F54" s="75"/>
      <c r="G54" s="74"/>
    </row>
    <row r="55" spans="1:21" ht="15" thickBot="1" x14ac:dyDescent="0.35">
      <c r="A55" s="20">
        <v>20</v>
      </c>
      <c r="B55" s="20">
        <v>0.66180000000000005</v>
      </c>
      <c r="C55" s="72"/>
      <c r="D55" s="72"/>
      <c r="E55" s="20">
        <v>0.83089999999999997</v>
      </c>
      <c r="F55" s="75"/>
      <c r="G55" s="82"/>
    </row>
    <row r="56" spans="1:21" ht="15" thickBot="1" x14ac:dyDescent="0.35">
      <c r="G56" s="83"/>
      <c r="H56" s="76" t="s">
        <v>148</v>
      </c>
    </row>
    <row r="57" spans="1:21" ht="15" thickBot="1" x14ac:dyDescent="0.35">
      <c r="G57" s="84"/>
      <c r="H57" s="76" t="s">
        <v>149</v>
      </c>
    </row>
    <row r="58" spans="1:21" ht="15" thickBot="1" x14ac:dyDescent="0.35"/>
    <row r="59" spans="1:21" ht="15" thickBot="1" x14ac:dyDescent="0.35">
      <c r="G59" s="85"/>
      <c r="H59" s="76" t="s">
        <v>151</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7E224-BAAE-4AFA-B841-444439CAAF12}">
  <sheetPr codeName="Sheet75">
    <tabColor theme="9" tint="0.59999389629810485"/>
  </sheetPr>
  <dimension ref="A1:U84"/>
  <sheetViews>
    <sheetView zoomScale="115" zoomScaleNormal="115" workbookViewId="0"/>
  </sheetViews>
  <sheetFormatPr defaultRowHeight="14.4" x14ac:dyDescent="0.3"/>
  <cols>
    <col min="2" max="2" width="17.77734375" customWidth="1"/>
    <col min="3" max="3" width="14.77734375" customWidth="1"/>
    <col min="4" max="4" width="16.33203125" customWidth="1"/>
    <col min="5" max="5" width="11.21875" customWidth="1"/>
    <col min="6" max="6" width="14.77734375" customWidth="1"/>
    <col min="7" max="7" width="17.77734375" customWidth="1"/>
    <col min="8" max="8" width="11.21875" customWidth="1"/>
    <col min="9" max="10" width="13.77734375" customWidth="1"/>
    <col min="12" max="13" width="11.21875" customWidth="1"/>
    <col min="16" max="21" width="12.21875" bestFit="1" customWidth="1"/>
    <col min="22" max="22" width="12" bestFit="1" customWidth="1"/>
    <col min="23" max="24" width="10" bestFit="1" customWidth="1"/>
    <col min="26" max="28" width="12" bestFit="1" customWidth="1"/>
  </cols>
  <sheetData>
    <row r="1" spans="1:20" x14ac:dyDescent="0.3">
      <c r="A1" s="7" t="s">
        <v>1</v>
      </c>
      <c r="B1" s="6"/>
      <c r="C1" s="9"/>
      <c r="D1" s="9"/>
      <c r="E1" s="9"/>
    </row>
    <row r="2" spans="1:20" x14ac:dyDescent="0.3">
      <c r="A2" t="s">
        <v>150</v>
      </c>
      <c r="B2" s="6"/>
      <c r="C2" s="9"/>
      <c r="D2" s="9"/>
      <c r="E2" s="9"/>
    </row>
    <row r="3" spans="1:20" x14ac:dyDescent="0.3">
      <c r="B3" s="6"/>
      <c r="C3" s="9"/>
      <c r="D3" s="9"/>
      <c r="E3" s="9"/>
    </row>
    <row r="4" spans="1:20" x14ac:dyDescent="0.3">
      <c r="A4" t="s">
        <v>153</v>
      </c>
      <c r="B4" s="6"/>
      <c r="C4" s="9"/>
      <c r="D4" s="9"/>
      <c r="E4" s="9"/>
    </row>
    <row r="5" spans="1:20" x14ac:dyDescent="0.3">
      <c r="A5" t="s">
        <v>154</v>
      </c>
      <c r="B5" s="6"/>
      <c r="C5" s="9"/>
      <c r="D5" s="9"/>
      <c r="E5" s="9"/>
    </row>
    <row r="6" spans="1:20" x14ac:dyDescent="0.3">
      <c r="A6" t="s">
        <v>155</v>
      </c>
      <c r="B6" s="6"/>
      <c r="C6" s="9"/>
      <c r="D6" s="9"/>
      <c r="E6" s="9"/>
      <c r="N6" s="14"/>
    </row>
    <row r="7" spans="1:20" x14ac:dyDescent="0.3">
      <c r="A7" t="s">
        <v>161</v>
      </c>
      <c r="B7" s="6"/>
      <c r="C7" s="9">
        <v>9000</v>
      </c>
      <c r="D7" s="9"/>
      <c r="E7" s="9"/>
      <c r="N7" s="14"/>
    </row>
    <row r="8" spans="1:20" x14ac:dyDescent="0.3">
      <c r="A8" t="s">
        <v>162</v>
      </c>
      <c r="B8" s="6"/>
      <c r="C8" s="9"/>
      <c r="D8" s="9"/>
      <c r="E8" s="9"/>
    </row>
    <row r="9" spans="1:20" x14ac:dyDescent="0.3">
      <c r="B9" s="6"/>
      <c r="C9" s="9"/>
      <c r="D9" s="9"/>
      <c r="E9" s="9"/>
      <c r="N9" s="15"/>
    </row>
    <row r="10" spans="1:20" x14ac:dyDescent="0.3">
      <c r="B10" s="6"/>
      <c r="C10" s="9"/>
      <c r="D10" s="9"/>
      <c r="E10" s="9"/>
      <c r="G10" t="s">
        <v>143</v>
      </c>
    </row>
    <row r="11" spans="1:20" x14ac:dyDescent="0.3">
      <c r="A11" s="78" t="s">
        <v>140</v>
      </c>
      <c r="B11" s="79" t="s">
        <v>141</v>
      </c>
      <c r="C11" s="9"/>
      <c r="D11" s="9"/>
      <c r="E11" s="9"/>
      <c r="G11" s="78" t="s">
        <v>140</v>
      </c>
      <c r="H11" s="79" t="s">
        <v>141</v>
      </c>
    </row>
    <row r="12" spans="1:20" x14ac:dyDescent="0.3">
      <c r="A12" s="77">
        <v>0.03</v>
      </c>
      <c r="B12" s="72">
        <v>0</v>
      </c>
      <c r="D12" s="9" t="s">
        <v>142</v>
      </c>
      <c r="E12" s="9"/>
      <c r="G12" s="20">
        <v>0</v>
      </c>
      <c r="H12" s="20">
        <v>0</v>
      </c>
      <c r="I12" s="41" t="s">
        <v>168</v>
      </c>
      <c r="J12" s="41"/>
      <c r="K12" s="41"/>
      <c r="L12" s="41"/>
      <c r="M12" s="41"/>
      <c r="N12" s="41"/>
      <c r="O12" s="41"/>
      <c r="P12" s="41"/>
      <c r="Q12" s="41"/>
      <c r="R12" s="41"/>
      <c r="S12" s="41"/>
      <c r="T12" s="41"/>
    </row>
    <row r="13" spans="1:20" x14ac:dyDescent="0.3">
      <c r="A13" s="77">
        <v>0.08</v>
      </c>
      <c r="B13" s="72">
        <v>1000</v>
      </c>
      <c r="D13" s="9" t="s">
        <v>158</v>
      </c>
      <c r="E13" s="5">
        <v>3.5</v>
      </c>
      <c r="G13" s="80">
        <f>SUM(A$12:A12)</f>
        <v>0.03</v>
      </c>
      <c r="H13" s="72">
        <f t="shared" ref="H13:H18" si="0">+B13</f>
        <v>1000</v>
      </c>
    </row>
    <row r="14" spans="1:20" x14ac:dyDescent="0.3">
      <c r="A14" s="77">
        <v>0.1</v>
      </c>
      <c r="B14" s="72">
        <v>2000</v>
      </c>
      <c r="D14" s="9" t="s">
        <v>159</v>
      </c>
      <c r="E14" s="5">
        <v>0.25</v>
      </c>
      <c r="G14" s="80">
        <f>SUM(A$12:A13)</f>
        <v>0.11</v>
      </c>
      <c r="H14" s="72">
        <f t="shared" si="0"/>
        <v>2000</v>
      </c>
    </row>
    <row r="15" spans="1:20" x14ac:dyDescent="0.3">
      <c r="A15" s="77">
        <v>0.2</v>
      </c>
      <c r="B15" s="72">
        <v>3000</v>
      </c>
      <c r="D15" s="9"/>
      <c r="E15" s="9"/>
      <c r="G15" s="80">
        <f>SUM(A$12:A14)</f>
        <v>0.21000000000000002</v>
      </c>
      <c r="H15" s="72">
        <f t="shared" si="0"/>
        <v>3000</v>
      </c>
    </row>
    <row r="16" spans="1:20" x14ac:dyDescent="0.3">
      <c r="A16" s="77">
        <v>0.33</v>
      </c>
      <c r="B16" s="72">
        <v>4000</v>
      </c>
      <c r="D16" s="9"/>
      <c r="E16" s="9"/>
      <c r="G16" s="80">
        <f>SUM(A$12:A15)</f>
        <v>0.41000000000000003</v>
      </c>
      <c r="H16" s="72">
        <f t="shared" si="0"/>
        <v>4000</v>
      </c>
    </row>
    <row r="17" spans="1:17" x14ac:dyDescent="0.3">
      <c r="A17" s="77">
        <v>0.2</v>
      </c>
      <c r="B17" s="72">
        <v>5000</v>
      </c>
      <c r="D17" s="9"/>
      <c r="E17" s="9"/>
      <c r="G17" s="80">
        <f>SUM(A$12:A16)</f>
        <v>0.74</v>
      </c>
      <c r="H17" s="72">
        <f t="shared" si="0"/>
        <v>5000</v>
      </c>
    </row>
    <row r="18" spans="1:17" x14ac:dyDescent="0.3">
      <c r="A18" s="77">
        <v>0.06</v>
      </c>
      <c r="B18" s="72">
        <v>6000</v>
      </c>
      <c r="D18" s="9"/>
      <c r="E18" s="9"/>
      <c r="G18" s="80">
        <f>SUM(A$12:A17)</f>
        <v>0.94</v>
      </c>
      <c r="H18" s="72">
        <f t="shared" si="0"/>
        <v>6000</v>
      </c>
    </row>
    <row r="19" spans="1:17" x14ac:dyDescent="0.3">
      <c r="A19" s="2">
        <f>SUM(A12:A18)</f>
        <v>1</v>
      </c>
      <c r="B19" s="6"/>
      <c r="C19" s="9"/>
      <c r="D19" s="9"/>
      <c r="E19" s="9"/>
      <c r="G19" s="2">
        <f>SUM(A$12:A18)</f>
        <v>1</v>
      </c>
    </row>
    <row r="20" spans="1:17" x14ac:dyDescent="0.3">
      <c r="D20" s="9"/>
      <c r="E20" s="9"/>
    </row>
    <row r="21" spans="1:17" x14ac:dyDescent="0.3">
      <c r="A21" t="s">
        <v>144</v>
      </c>
      <c r="B21" s="6"/>
      <c r="C21" s="9"/>
      <c r="E21" s="9"/>
    </row>
    <row r="22" spans="1:17" x14ac:dyDescent="0.3">
      <c r="A22" t="s">
        <v>156</v>
      </c>
      <c r="B22" s="6"/>
      <c r="C22" s="9">
        <v>3900</v>
      </c>
      <c r="D22" s="81" t="s">
        <v>152</v>
      </c>
      <c r="E22" s="9"/>
    </row>
    <row r="23" spans="1:17" x14ac:dyDescent="0.3">
      <c r="A23" t="s">
        <v>145</v>
      </c>
      <c r="B23" s="6"/>
      <c r="C23" s="9">
        <f>+C7</f>
        <v>9000</v>
      </c>
      <c r="D23" s="9"/>
      <c r="E23" s="9"/>
    </row>
    <row r="24" spans="1:17" x14ac:dyDescent="0.3">
      <c r="D24" s="9"/>
      <c r="E24" s="9"/>
    </row>
    <row r="25" spans="1:17" x14ac:dyDescent="0.3">
      <c r="A25" t="s">
        <v>160</v>
      </c>
      <c r="D25" s="9"/>
      <c r="E25" s="9"/>
    </row>
    <row r="26" spans="1:17" x14ac:dyDescent="0.3">
      <c r="A26" t="s">
        <v>163</v>
      </c>
      <c r="D26" s="9"/>
      <c r="E26" s="9"/>
      <c r="H26" s="22">
        <v>1000</v>
      </c>
    </row>
    <row r="27" spans="1:17" x14ac:dyDescent="0.3">
      <c r="A27" t="s">
        <v>146</v>
      </c>
      <c r="D27" s="9"/>
      <c r="E27" s="9"/>
    </row>
    <row r="28" spans="1:17" x14ac:dyDescent="0.3">
      <c r="A28" t="s">
        <v>147</v>
      </c>
      <c r="B28" s="6"/>
      <c r="C28" s="9"/>
      <c r="D28" s="9"/>
      <c r="E28" s="9"/>
      <c r="J28" s="41" t="s">
        <v>169</v>
      </c>
      <c r="K28" s="41"/>
      <c r="L28" s="41"/>
      <c r="M28" s="41"/>
      <c r="N28" s="41"/>
      <c r="O28" s="41"/>
      <c r="P28" s="41"/>
      <c r="Q28" s="41"/>
    </row>
    <row r="29" spans="1:17" x14ac:dyDescent="0.3">
      <c r="B29" s="6"/>
      <c r="C29" s="9"/>
      <c r="D29" s="9"/>
      <c r="E29" s="9"/>
    </row>
    <row r="30" spans="1:17" x14ac:dyDescent="0.3">
      <c r="A30" s="68"/>
      <c r="B30" s="70" t="s">
        <v>164</v>
      </c>
      <c r="C30" s="70" t="s">
        <v>135</v>
      </c>
      <c r="D30" s="70" t="s">
        <v>136</v>
      </c>
      <c r="E30" s="70" t="s">
        <v>165</v>
      </c>
      <c r="F30" s="70" t="s">
        <v>137</v>
      </c>
      <c r="G30" s="73" t="s">
        <v>138</v>
      </c>
    </row>
    <row r="31" spans="1:17" x14ac:dyDescent="0.3">
      <c r="A31" s="69" t="s">
        <v>133</v>
      </c>
      <c r="B31" s="71" t="s">
        <v>134</v>
      </c>
      <c r="C31" s="71" t="s">
        <v>166</v>
      </c>
      <c r="D31" s="71" t="s">
        <v>157</v>
      </c>
      <c r="E31" s="71" t="s">
        <v>134</v>
      </c>
      <c r="F31" s="71" t="s">
        <v>167</v>
      </c>
      <c r="G31" s="11" t="s">
        <v>139</v>
      </c>
    </row>
    <row r="32" spans="1:17" x14ac:dyDescent="0.3">
      <c r="A32" s="20">
        <v>1</v>
      </c>
      <c r="B32" s="20">
        <v>0.3352</v>
      </c>
      <c r="C32" s="72">
        <f>VLOOKUP(B32,$G$12:$H$18,2)</f>
        <v>3000</v>
      </c>
      <c r="D32" s="72">
        <f t="shared" ref="D32:D55" si="1">MIN($C$22,C32)</f>
        <v>3000</v>
      </c>
      <c r="E32" s="20">
        <v>0.3236</v>
      </c>
      <c r="F32" s="75">
        <f>_xlfn.NORM.INV(E32,$E$13,$E$14)</f>
        <v>3.3855861377676284</v>
      </c>
      <c r="G32" s="74">
        <f t="shared" ref="G32:G55" si="2">+D32*F32-$C$23</f>
        <v>1156.7584133028849</v>
      </c>
    </row>
    <row r="33" spans="1:7" x14ac:dyDescent="0.3">
      <c r="A33" s="20">
        <v>2</v>
      </c>
      <c r="B33" s="20">
        <v>0.40150000000000002</v>
      </c>
      <c r="C33" s="72">
        <f t="shared" ref="C33:C55" si="3">VLOOKUP(B33,$G$12:$H$18,2)</f>
        <v>3000</v>
      </c>
      <c r="D33" s="72">
        <f t="shared" si="1"/>
        <v>3000</v>
      </c>
      <c r="E33" s="20">
        <v>0.13550000000000001</v>
      </c>
      <c r="F33" s="75">
        <f t="shared" ref="F33:F55" si="4">_xlfn.NORM.INV(E33,$E$13,$E$14)</f>
        <v>3.2248093539573732</v>
      </c>
      <c r="G33" s="74">
        <f t="shared" si="2"/>
        <v>674.42806187212045</v>
      </c>
    </row>
    <row r="34" spans="1:7" x14ac:dyDescent="0.3">
      <c r="A34" s="20">
        <v>3</v>
      </c>
      <c r="B34" s="20">
        <v>0.14460000000000001</v>
      </c>
      <c r="C34" s="72">
        <f t="shared" si="3"/>
        <v>2000</v>
      </c>
      <c r="D34" s="72">
        <f t="shared" si="1"/>
        <v>2000</v>
      </c>
      <c r="E34" s="20">
        <v>0.51919999999999999</v>
      </c>
      <c r="F34" s="75">
        <f t="shared" si="4"/>
        <v>3.5120364642363819</v>
      </c>
      <c r="G34" s="74">
        <f t="shared" si="2"/>
        <v>-1975.927071527236</v>
      </c>
    </row>
    <row r="35" spans="1:7" x14ac:dyDescent="0.3">
      <c r="A35" s="20">
        <v>4</v>
      </c>
      <c r="B35" s="20">
        <v>0.43230000000000002</v>
      </c>
      <c r="C35" s="72">
        <f t="shared" si="3"/>
        <v>4000</v>
      </c>
      <c r="D35" s="72">
        <f t="shared" si="1"/>
        <v>3900</v>
      </c>
      <c r="E35" s="20">
        <v>0.97260000000000002</v>
      </c>
      <c r="F35" s="75">
        <f t="shared" si="4"/>
        <v>3.9801146454574141</v>
      </c>
      <c r="G35" s="74">
        <f t="shared" si="2"/>
        <v>6522.4471172839148</v>
      </c>
    </row>
    <row r="36" spans="1:7" x14ac:dyDescent="0.3">
      <c r="A36" s="20">
        <v>5</v>
      </c>
      <c r="B36" s="20">
        <v>3.5799999999999998E-2</v>
      </c>
      <c r="C36" s="72">
        <f t="shared" si="3"/>
        <v>1000</v>
      </c>
      <c r="D36" s="72">
        <f t="shared" si="1"/>
        <v>1000</v>
      </c>
      <c r="E36" s="20">
        <v>5.6500000000000002E-2</v>
      </c>
      <c r="F36" s="75">
        <f t="shared" si="4"/>
        <v>3.1037870390414795</v>
      </c>
      <c r="G36" s="74">
        <f t="shared" si="2"/>
        <v>-5896.2129609585209</v>
      </c>
    </row>
    <row r="37" spans="1:7" x14ac:dyDescent="0.3">
      <c r="A37" s="20">
        <v>6</v>
      </c>
      <c r="B37" s="20">
        <v>0.49990000000000001</v>
      </c>
      <c r="C37" s="72">
        <f t="shared" si="3"/>
        <v>4000</v>
      </c>
      <c r="D37" s="72">
        <f t="shared" si="1"/>
        <v>3900</v>
      </c>
      <c r="E37" s="20">
        <v>0.20699999999999999</v>
      </c>
      <c r="F37" s="75">
        <f t="shared" si="4"/>
        <v>3.2957813086249592</v>
      </c>
      <c r="G37" s="74">
        <f t="shared" si="2"/>
        <v>3853.5471036373401</v>
      </c>
    </row>
    <row r="38" spans="1:7" x14ac:dyDescent="0.3">
      <c r="A38" s="20">
        <v>7</v>
      </c>
      <c r="B38" s="20">
        <v>0.88080000000000003</v>
      </c>
      <c r="C38" s="72">
        <f t="shared" si="3"/>
        <v>5000</v>
      </c>
      <c r="D38" s="72">
        <f t="shared" si="1"/>
        <v>3900</v>
      </c>
      <c r="E38" s="20">
        <v>0.24809999999999999</v>
      </c>
      <c r="F38" s="75">
        <f t="shared" si="4"/>
        <v>3.3298797704018064</v>
      </c>
      <c r="G38" s="74">
        <f t="shared" si="2"/>
        <v>3986.5311045670442</v>
      </c>
    </row>
    <row r="39" spans="1:7" x14ac:dyDescent="0.3">
      <c r="A39" s="20">
        <v>8</v>
      </c>
      <c r="B39" s="20">
        <v>0.90129999999999999</v>
      </c>
      <c r="C39" s="72">
        <f t="shared" si="3"/>
        <v>5000</v>
      </c>
      <c r="D39" s="72">
        <f t="shared" si="1"/>
        <v>3900</v>
      </c>
      <c r="E39" s="20">
        <v>0.80169999999999997</v>
      </c>
      <c r="F39" s="75">
        <f t="shared" si="4"/>
        <v>3.7119272737316678</v>
      </c>
      <c r="G39" s="74">
        <f t="shared" si="2"/>
        <v>5476.5163675535041</v>
      </c>
    </row>
    <row r="40" spans="1:7" x14ac:dyDescent="0.3">
      <c r="A40" s="20">
        <v>9</v>
      </c>
      <c r="B40" s="20">
        <v>0.4602</v>
      </c>
      <c r="C40" s="72">
        <f t="shared" si="3"/>
        <v>4000</v>
      </c>
      <c r="D40" s="72">
        <f t="shared" si="1"/>
        <v>3900</v>
      </c>
      <c r="E40" s="20">
        <v>0.26440000000000002</v>
      </c>
      <c r="F40" s="75">
        <f t="shared" si="4"/>
        <v>3.3425402781233862</v>
      </c>
      <c r="G40" s="74">
        <f t="shared" si="2"/>
        <v>4035.9070846812065</v>
      </c>
    </row>
    <row r="41" spans="1:7" x14ac:dyDescent="0.3">
      <c r="A41" s="20">
        <v>10</v>
      </c>
      <c r="B41" s="20">
        <v>0.34889999999999999</v>
      </c>
      <c r="C41" s="72">
        <f t="shared" si="3"/>
        <v>3000</v>
      </c>
      <c r="D41" s="72">
        <f t="shared" si="1"/>
        <v>3000</v>
      </c>
      <c r="E41" s="20">
        <v>0.28510000000000002</v>
      </c>
      <c r="F41" s="75">
        <f t="shared" si="4"/>
        <v>3.3580607568451244</v>
      </c>
      <c r="G41" s="74">
        <f t="shared" si="2"/>
        <v>1074.1822705353734</v>
      </c>
    </row>
    <row r="42" spans="1:7" x14ac:dyDescent="0.3">
      <c r="A42" s="20">
        <v>11</v>
      </c>
      <c r="B42" s="20">
        <v>0.42120000000000002</v>
      </c>
      <c r="C42" s="72">
        <f t="shared" si="3"/>
        <v>4000</v>
      </c>
      <c r="D42" s="72">
        <f t="shared" si="1"/>
        <v>3900</v>
      </c>
      <c r="E42" s="20">
        <v>0.71919999999999995</v>
      </c>
      <c r="F42" s="75">
        <f t="shared" si="4"/>
        <v>3.6451166515049951</v>
      </c>
      <c r="G42" s="74">
        <f t="shared" si="2"/>
        <v>5215.9549408694802</v>
      </c>
    </row>
    <row r="43" spans="1:7" x14ac:dyDescent="0.3">
      <c r="A43" s="20">
        <v>12</v>
      </c>
      <c r="B43" s="20">
        <v>0.72670000000000001</v>
      </c>
      <c r="C43" s="72">
        <f t="shared" si="3"/>
        <v>4000</v>
      </c>
      <c r="D43" s="72">
        <f t="shared" si="1"/>
        <v>3900</v>
      </c>
      <c r="E43" s="20">
        <v>0.72460000000000002</v>
      </c>
      <c r="F43" s="75">
        <f t="shared" si="4"/>
        <v>3.6491404431631072</v>
      </c>
      <c r="G43" s="74">
        <f t="shared" si="2"/>
        <v>5231.6477283361182</v>
      </c>
    </row>
    <row r="44" spans="1:7" x14ac:dyDescent="0.3">
      <c r="A44" s="20">
        <v>13</v>
      </c>
      <c r="B44" s="20">
        <v>0.94210000000000005</v>
      </c>
      <c r="C44" s="72">
        <f t="shared" si="3"/>
        <v>6000</v>
      </c>
      <c r="D44" s="72">
        <f t="shared" si="1"/>
        <v>3900</v>
      </c>
      <c r="E44" s="20">
        <v>0.99209999999999998</v>
      </c>
      <c r="F44" s="75">
        <f t="shared" si="4"/>
        <v>4.1033757373971191</v>
      </c>
      <c r="G44" s="74">
        <f t="shared" si="2"/>
        <v>7003.1653758487646</v>
      </c>
    </row>
    <row r="45" spans="1:7" x14ac:dyDescent="0.3">
      <c r="A45" s="20">
        <v>14</v>
      </c>
      <c r="B45" s="20">
        <v>0.70589999999999997</v>
      </c>
      <c r="C45" s="72">
        <f t="shared" si="3"/>
        <v>4000</v>
      </c>
      <c r="D45" s="72">
        <f t="shared" si="1"/>
        <v>3900</v>
      </c>
      <c r="E45" s="20">
        <v>0.52270000000000005</v>
      </c>
      <c r="F45" s="75">
        <f t="shared" si="4"/>
        <v>3.5142328001896574</v>
      </c>
      <c r="G45" s="74">
        <f t="shared" si="2"/>
        <v>4705.5079207396648</v>
      </c>
    </row>
    <row r="46" spans="1:7" x14ac:dyDescent="0.3">
      <c r="A46" s="20">
        <v>15</v>
      </c>
      <c r="B46" s="20">
        <v>0.1024</v>
      </c>
      <c r="C46" s="72">
        <f t="shared" si="3"/>
        <v>1000</v>
      </c>
      <c r="D46" s="72">
        <f t="shared" si="1"/>
        <v>1000</v>
      </c>
      <c r="E46" s="20">
        <v>5.5300000000000002E-2</v>
      </c>
      <c r="F46" s="75">
        <f t="shared" si="4"/>
        <v>3.1011244741370776</v>
      </c>
      <c r="G46" s="74">
        <f t="shared" si="2"/>
        <v>-5898.8755258629226</v>
      </c>
    </row>
    <row r="47" spans="1:7" x14ac:dyDescent="0.3">
      <c r="A47" s="20">
        <v>16</v>
      </c>
      <c r="B47" s="20">
        <v>0.24779999999999999</v>
      </c>
      <c r="C47" s="72">
        <f t="shared" si="3"/>
        <v>3000</v>
      </c>
      <c r="D47" s="72">
        <f t="shared" si="1"/>
        <v>3000</v>
      </c>
      <c r="E47" s="20">
        <v>0.59150000000000003</v>
      </c>
      <c r="F47" s="75">
        <f t="shared" si="4"/>
        <v>3.5578513082943171</v>
      </c>
      <c r="G47" s="74">
        <f t="shared" si="2"/>
        <v>1673.5539248829518</v>
      </c>
    </row>
    <row r="48" spans="1:7" x14ac:dyDescent="0.3">
      <c r="A48" s="20">
        <v>17</v>
      </c>
      <c r="B48" s="20">
        <v>0.59399999999999997</v>
      </c>
      <c r="C48" s="72">
        <f t="shared" si="3"/>
        <v>4000</v>
      </c>
      <c r="D48" s="72">
        <f t="shared" si="1"/>
        <v>3900</v>
      </c>
      <c r="E48" s="20">
        <v>8.9300000000000004E-2</v>
      </c>
      <c r="F48" s="75">
        <f t="shared" si="4"/>
        <v>3.163730463649232</v>
      </c>
      <c r="G48" s="74">
        <f t="shared" si="2"/>
        <v>3338.5488082320044</v>
      </c>
    </row>
    <row r="49" spans="1:8" x14ac:dyDescent="0.3">
      <c r="A49" s="20">
        <v>18</v>
      </c>
      <c r="B49" s="20">
        <v>0.44590000000000002</v>
      </c>
      <c r="C49" s="72">
        <f t="shared" si="3"/>
        <v>4000</v>
      </c>
      <c r="D49" s="72">
        <f t="shared" si="1"/>
        <v>3900</v>
      </c>
      <c r="E49" s="20">
        <v>0.31359999999999999</v>
      </c>
      <c r="F49" s="75">
        <f t="shared" si="4"/>
        <v>3.3785820920532403</v>
      </c>
      <c r="G49" s="74">
        <f t="shared" si="2"/>
        <v>4176.4701590076365</v>
      </c>
    </row>
    <row r="50" spans="1:8" x14ac:dyDescent="0.3">
      <c r="A50" s="20">
        <v>19</v>
      </c>
      <c r="B50" s="20">
        <v>5.11E-2</v>
      </c>
      <c r="C50" s="72">
        <f t="shared" si="3"/>
        <v>1000</v>
      </c>
      <c r="D50" s="72">
        <f t="shared" si="1"/>
        <v>1000</v>
      </c>
      <c r="E50" s="20">
        <v>7.0099999999999996E-2</v>
      </c>
      <c r="F50" s="75">
        <f t="shared" si="4"/>
        <v>3.1312383356133706</v>
      </c>
      <c r="G50" s="74">
        <f t="shared" si="2"/>
        <v>-5868.7616643866295</v>
      </c>
    </row>
    <row r="51" spans="1:8" x14ac:dyDescent="0.3">
      <c r="A51" s="20">
        <v>20</v>
      </c>
      <c r="B51" s="20">
        <v>0.66180000000000005</v>
      </c>
      <c r="C51" s="72">
        <f t="shared" si="3"/>
        <v>4000</v>
      </c>
      <c r="D51" s="72">
        <f t="shared" si="1"/>
        <v>3900</v>
      </c>
      <c r="E51" s="20">
        <v>0.83089999999999997</v>
      </c>
      <c r="F51" s="75">
        <f t="shared" si="4"/>
        <v>3.7394319671710394</v>
      </c>
      <c r="G51" s="74">
        <f t="shared" si="2"/>
        <v>5583.7846719670542</v>
      </c>
    </row>
    <row r="52" spans="1:8" x14ac:dyDescent="0.3">
      <c r="A52" s="20">
        <v>17</v>
      </c>
      <c r="B52" s="20">
        <v>0.59399999999999997</v>
      </c>
      <c r="C52" s="72">
        <f t="shared" si="3"/>
        <v>4000</v>
      </c>
      <c r="D52" s="72">
        <f t="shared" si="1"/>
        <v>3900</v>
      </c>
      <c r="E52" s="20">
        <v>8.9300000000000004E-2</v>
      </c>
      <c r="F52" s="75">
        <f t="shared" si="4"/>
        <v>3.163730463649232</v>
      </c>
      <c r="G52" s="74">
        <f t="shared" si="2"/>
        <v>3338.5488082320044</v>
      </c>
    </row>
    <row r="53" spans="1:8" x14ac:dyDescent="0.3">
      <c r="A53" s="20">
        <v>18</v>
      </c>
      <c r="B53" s="20">
        <v>0.44590000000000002</v>
      </c>
      <c r="C53" s="72">
        <f t="shared" si="3"/>
        <v>4000</v>
      </c>
      <c r="D53" s="72">
        <f t="shared" si="1"/>
        <v>3900</v>
      </c>
      <c r="E53" s="20">
        <v>0.31359999999999999</v>
      </c>
      <c r="F53" s="75">
        <f t="shared" si="4"/>
        <v>3.3785820920532403</v>
      </c>
      <c r="G53" s="74">
        <f t="shared" si="2"/>
        <v>4176.4701590076365</v>
      </c>
    </row>
    <row r="54" spans="1:8" x14ac:dyDescent="0.3">
      <c r="A54" s="20">
        <v>19</v>
      </c>
      <c r="B54" s="20">
        <v>5.11E-2</v>
      </c>
      <c r="C54" s="72">
        <f t="shared" si="3"/>
        <v>1000</v>
      </c>
      <c r="D54" s="72">
        <f t="shared" si="1"/>
        <v>1000</v>
      </c>
      <c r="E54" s="20">
        <v>7.0099999999999996E-2</v>
      </c>
      <c r="F54" s="75">
        <f t="shared" si="4"/>
        <v>3.1312383356133706</v>
      </c>
      <c r="G54" s="74">
        <f t="shared" si="2"/>
        <v>-5868.7616643866295</v>
      </c>
    </row>
    <row r="55" spans="1:8" ht="15" thickBot="1" x14ac:dyDescent="0.35">
      <c r="A55" s="20">
        <v>20</v>
      </c>
      <c r="B55" s="20">
        <v>0.66180000000000005</v>
      </c>
      <c r="C55" s="72">
        <f t="shared" si="3"/>
        <v>4000</v>
      </c>
      <c r="D55" s="72">
        <f t="shared" si="1"/>
        <v>3900</v>
      </c>
      <c r="E55" s="20">
        <v>0.83089999999999997</v>
      </c>
      <c r="F55" s="75">
        <f t="shared" si="4"/>
        <v>3.7394319671710394</v>
      </c>
      <c r="G55" s="82">
        <f t="shared" si="2"/>
        <v>5583.7846719670542</v>
      </c>
    </row>
    <row r="56" spans="1:8" ht="15" thickBot="1" x14ac:dyDescent="0.35">
      <c r="G56" s="84">
        <f>AVERAGE(G32:G55)</f>
        <v>2137.4673252250764</v>
      </c>
      <c r="H56" s="76" t="s">
        <v>148</v>
      </c>
    </row>
    <row r="57" spans="1:8" ht="15" thickBot="1" x14ac:dyDescent="0.35">
      <c r="G57" s="84">
        <f>_xlfn.STDEV.P(G32:G55)</f>
        <v>4099.3444528493301</v>
      </c>
      <c r="H57" s="76" t="s">
        <v>149</v>
      </c>
    </row>
    <row r="58" spans="1:8" ht="15" thickBot="1" x14ac:dyDescent="0.35"/>
    <row r="59" spans="1:8" ht="15" thickBot="1" x14ac:dyDescent="0.35">
      <c r="G59" s="85">
        <f>COUNTIF(G32:G55,"&lt;1000")/20</f>
        <v>0.3</v>
      </c>
      <c r="H59" s="76" t="s">
        <v>151</v>
      </c>
    </row>
    <row r="62" spans="1:8" x14ac:dyDescent="0.3">
      <c r="B62" s="15"/>
      <c r="C62" s="9"/>
    </row>
    <row r="63" spans="1:8" x14ac:dyDescent="0.3">
      <c r="B63" s="15"/>
      <c r="C63" s="67"/>
    </row>
    <row r="72" spans="16:21" x14ac:dyDescent="0.3">
      <c r="P72" s="9"/>
      <c r="Q72" s="9"/>
      <c r="R72" s="9"/>
      <c r="S72" s="9"/>
      <c r="T72" s="9"/>
      <c r="U72" s="9"/>
    </row>
    <row r="73" spans="16:21" x14ac:dyDescent="0.3">
      <c r="P73" s="9"/>
      <c r="Q73" s="9"/>
      <c r="R73" s="9"/>
      <c r="S73" s="9"/>
      <c r="T73" s="9"/>
      <c r="U73" s="9"/>
    </row>
    <row r="74" spans="16:21" x14ac:dyDescent="0.3">
      <c r="P74" s="9"/>
      <c r="Q74" s="9"/>
      <c r="R74" s="9"/>
      <c r="S74" s="9"/>
      <c r="T74" s="9"/>
      <c r="U74" s="9"/>
    </row>
    <row r="75" spans="16:21" x14ac:dyDescent="0.3">
      <c r="P75" s="9"/>
      <c r="Q75" s="9"/>
      <c r="R75" s="9"/>
      <c r="S75" s="9"/>
      <c r="T75" s="9"/>
      <c r="U75" s="9"/>
    </row>
    <row r="76" spans="16:21" x14ac:dyDescent="0.3">
      <c r="P76" s="9"/>
      <c r="Q76" s="9"/>
      <c r="R76" s="9"/>
      <c r="S76" s="9"/>
      <c r="T76" s="9"/>
      <c r="U76" s="9"/>
    </row>
    <row r="77" spans="16:21" x14ac:dyDescent="0.3">
      <c r="P77" s="9"/>
      <c r="Q77" s="9"/>
      <c r="R77" s="9"/>
      <c r="S77" s="9"/>
      <c r="T77" s="9"/>
      <c r="U77" s="9"/>
    </row>
    <row r="78" spans="16:21" x14ac:dyDescent="0.3">
      <c r="P78" s="9"/>
      <c r="Q78" s="9"/>
      <c r="R78" s="9"/>
      <c r="S78" s="9"/>
      <c r="T78" s="9"/>
      <c r="U78" s="9"/>
    </row>
    <row r="79" spans="16:21" x14ac:dyDescent="0.3">
      <c r="P79" s="9"/>
      <c r="Q79" s="9"/>
      <c r="R79" s="9"/>
      <c r="S79" s="9"/>
      <c r="T79" s="9"/>
      <c r="U79" s="9"/>
    </row>
    <row r="80" spans="16:21" x14ac:dyDescent="0.3">
      <c r="P80" s="9"/>
      <c r="Q80" s="9"/>
      <c r="R80" s="9"/>
      <c r="S80" s="9"/>
      <c r="T80" s="9"/>
      <c r="U80" s="9"/>
    </row>
    <row r="81" spans="16:21" x14ac:dyDescent="0.3">
      <c r="P81" s="9"/>
      <c r="Q81" s="9"/>
      <c r="R81" s="9"/>
      <c r="S81" s="9"/>
      <c r="T81" s="9"/>
      <c r="U81" s="9"/>
    </row>
    <row r="82" spans="16:21" x14ac:dyDescent="0.3">
      <c r="P82" s="9"/>
      <c r="Q82" s="9"/>
      <c r="R82" s="9"/>
      <c r="S82" s="9"/>
      <c r="T82" s="9"/>
      <c r="U82" s="9"/>
    </row>
    <row r="83" spans="16:21" x14ac:dyDescent="0.3">
      <c r="P83" s="9"/>
      <c r="Q83" s="9"/>
      <c r="R83" s="9"/>
      <c r="S83" s="9"/>
      <c r="T83" s="9"/>
      <c r="U83" s="9"/>
    </row>
    <row r="84" spans="16:21" x14ac:dyDescent="0.3">
      <c r="P84" s="9"/>
      <c r="Q84" s="9"/>
      <c r="R84" s="9"/>
      <c r="S84" s="9"/>
      <c r="T84" s="9"/>
      <c r="U84" s="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4576-7A43-47A2-A1B5-EC3CB7EB2202}">
  <sheetPr>
    <tabColor theme="1"/>
  </sheetPr>
  <dimension ref="A1:C10"/>
  <sheetViews>
    <sheetView zoomScale="115" zoomScaleNormal="115" workbookViewId="0">
      <selection activeCell="C23" sqref="C23"/>
    </sheetView>
  </sheetViews>
  <sheetFormatPr defaultRowHeight="14.4" x14ac:dyDescent="0.3"/>
  <cols>
    <col min="2" max="2" width="9.21875" customWidth="1"/>
    <col min="3" max="3" width="78.5546875" customWidth="1"/>
  </cols>
  <sheetData>
    <row r="1" spans="1:3" x14ac:dyDescent="0.3">
      <c r="A1" s="12" t="s">
        <v>182</v>
      </c>
    </row>
    <row r="4" spans="1:3" x14ac:dyDescent="0.3">
      <c r="A4" s="91"/>
      <c r="B4" s="92" t="s">
        <v>174</v>
      </c>
      <c r="C4" s="93"/>
    </row>
    <row r="5" spans="1:3" x14ac:dyDescent="0.3">
      <c r="A5" s="94" t="s">
        <v>180</v>
      </c>
      <c r="B5" s="95" t="s">
        <v>175</v>
      </c>
      <c r="C5" s="96" t="s">
        <v>176</v>
      </c>
    </row>
    <row r="6" spans="1:3" x14ac:dyDescent="0.3">
      <c r="A6" s="20" t="s">
        <v>186</v>
      </c>
      <c r="B6" s="20">
        <v>2</v>
      </c>
      <c r="C6" s="20" t="s">
        <v>177</v>
      </c>
    </row>
    <row r="7" spans="1:3" x14ac:dyDescent="0.3">
      <c r="A7" s="20" t="s">
        <v>170</v>
      </c>
      <c r="B7" s="20">
        <v>2</v>
      </c>
      <c r="C7" s="20" t="s">
        <v>179</v>
      </c>
    </row>
    <row r="8" spans="1:3" x14ac:dyDescent="0.3">
      <c r="A8" s="68" t="s">
        <v>171</v>
      </c>
      <c r="B8" s="89">
        <v>2</v>
      </c>
      <c r="C8" s="87" t="s">
        <v>177</v>
      </c>
    </row>
    <row r="9" spans="1:3" x14ac:dyDescent="0.3">
      <c r="A9" s="69"/>
      <c r="B9" s="90"/>
      <c r="C9" s="88" t="s">
        <v>178</v>
      </c>
    </row>
    <row r="10" spans="1:3" x14ac:dyDescent="0.3">
      <c r="A10" s="20" t="s">
        <v>172</v>
      </c>
      <c r="B10" s="20">
        <v>3</v>
      </c>
      <c r="C10" s="20"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D167B-8916-44C7-8C77-8CE4AF508A35}">
  <sheetPr codeName="Sheet13">
    <tabColor theme="5" tint="0.39997558519241921"/>
  </sheetPr>
  <dimension ref="A1:T59"/>
  <sheetViews>
    <sheetView zoomScale="115" zoomScaleNormal="115" workbookViewId="0"/>
  </sheetViews>
  <sheetFormatPr defaultRowHeight="14.4" x14ac:dyDescent="0.3"/>
  <cols>
    <col min="1" max="1" width="10.77734375" customWidth="1"/>
    <col min="2" max="6" width="12.77734375" customWidth="1"/>
    <col min="7" max="7" width="6.5546875" customWidth="1"/>
    <col min="8" max="8" width="10.44140625" customWidth="1"/>
    <col min="9" max="9" width="19.77734375" bestFit="1" customWidth="1"/>
    <col min="10" max="13" width="12.77734375" customWidth="1"/>
    <col min="14" max="14" width="7.6640625" customWidth="1"/>
    <col min="15" max="15" width="12.77734375" customWidth="1"/>
    <col min="16" max="16" width="11.5546875" customWidth="1"/>
  </cols>
  <sheetData>
    <row r="1" spans="1:6" x14ac:dyDescent="0.3">
      <c r="A1" s="7" t="s">
        <v>1</v>
      </c>
    </row>
    <row r="2" spans="1:6" x14ac:dyDescent="0.3">
      <c r="A2" t="s">
        <v>41</v>
      </c>
    </row>
    <row r="4" spans="1:6" x14ac:dyDescent="0.3">
      <c r="A4" s="7" t="s">
        <v>9</v>
      </c>
      <c r="F4" s="7" t="s">
        <v>45</v>
      </c>
    </row>
    <row r="5" spans="1:6" x14ac:dyDescent="0.3">
      <c r="A5" t="s">
        <v>10</v>
      </c>
    </row>
    <row r="6" spans="1:6" x14ac:dyDescent="0.3">
      <c r="A6" t="s">
        <v>11</v>
      </c>
      <c r="C6" s="13">
        <v>4.2500000000000003E-2</v>
      </c>
      <c r="F6" t="s">
        <v>47</v>
      </c>
    </row>
    <row r="7" spans="1:6" x14ac:dyDescent="0.3">
      <c r="A7" t="s">
        <v>12</v>
      </c>
      <c r="C7" s="13">
        <v>0.04</v>
      </c>
    </row>
    <row r="8" spans="1:6" x14ac:dyDescent="0.3">
      <c r="C8" s="13"/>
    </row>
    <row r="9" spans="1:6" x14ac:dyDescent="0.3">
      <c r="C9" s="31" t="s">
        <v>13</v>
      </c>
      <c r="D9" s="31" t="s">
        <v>14</v>
      </c>
    </row>
    <row r="10" spans="1:6" x14ac:dyDescent="0.3">
      <c r="A10" t="s">
        <v>15</v>
      </c>
      <c r="C10">
        <v>0.85</v>
      </c>
      <c r="D10">
        <v>0.85</v>
      </c>
    </row>
    <row r="11" spans="1:6" x14ac:dyDescent="0.3">
      <c r="A11" t="s">
        <v>16</v>
      </c>
      <c r="C11" s="1">
        <v>0.05</v>
      </c>
      <c r="D11" s="1">
        <v>0.05</v>
      </c>
    </row>
    <row r="12" spans="1:6" x14ac:dyDescent="0.3">
      <c r="A12" t="s">
        <v>17</v>
      </c>
      <c r="C12" s="1">
        <v>0.25</v>
      </c>
      <c r="D12" s="1">
        <v>0.25</v>
      </c>
    </row>
    <row r="13" spans="1:6" x14ac:dyDescent="0.3">
      <c r="A13" t="s">
        <v>48</v>
      </c>
      <c r="C13" s="1">
        <v>0.1</v>
      </c>
      <c r="D13" s="1">
        <v>0.1</v>
      </c>
    </row>
    <row r="14" spans="1:6" x14ac:dyDescent="0.3">
      <c r="A14" t="s">
        <v>18</v>
      </c>
      <c r="C14" s="22">
        <v>1000</v>
      </c>
      <c r="D14" s="22">
        <v>500</v>
      </c>
    </row>
    <row r="15" spans="1:6" x14ac:dyDescent="0.3">
      <c r="A15" t="s">
        <v>19</v>
      </c>
      <c r="C15" s="22">
        <v>50</v>
      </c>
      <c r="D15" s="22">
        <v>25</v>
      </c>
    </row>
    <row r="16" spans="1:6" x14ac:dyDescent="0.3">
      <c r="A16" t="s">
        <v>20</v>
      </c>
      <c r="C16" s="1">
        <v>0.15</v>
      </c>
      <c r="D16" s="1">
        <v>0.15</v>
      </c>
    </row>
    <row r="17" spans="1:20" x14ac:dyDescent="0.3">
      <c r="A17" t="s">
        <v>21</v>
      </c>
      <c r="C17" s="1">
        <v>0.7</v>
      </c>
      <c r="D17" s="1">
        <v>0.7</v>
      </c>
    </row>
    <row r="18" spans="1:20" x14ac:dyDescent="0.3">
      <c r="A18" t="s">
        <v>22</v>
      </c>
      <c r="C18" s="6" t="s">
        <v>23</v>
      </c>
      <c r="D18" s="6" t="s">
        <v>23</v>
      </c>
      <c r="F18" t="s">
        <v>46</v>
      </c>
    </row>
    <row r="20" spans="1:20" x14ac:dyDescent="0.3">
      <c r="A20" t="s">
        <v>24</v>
      </c>
      <c r="C20" s="13">
        <f>C6+C10*C7</f>
        <v>7.6500000000000012E-2</v>
      </c>
      <c r="D20" s="13">
        <f>+C6+D10*C7</f>
        <v>7.6500000000000012E-2</v>
      </c>
    </row>
    <row r="21" spans="1:20" x14ac:dyDescent="0.3">
      <c r="A21" t="s">
        <v>25</v>
      </c>
      <c r="C21" s="13">
        <f>C11*(1-C12)</f>
        <v>3.7500000000000006E-2</v>
      </c>
      <c r="D21" s="13">
        <f>D11*(1-D12)</f>
        <v>3.7500000000000006E-2</v>
      </c>
    </row>
    <row r="22" spans="1:20" x14ac:dyDescent="0.3">
      <c r="A22" t="s">
        <v>26</v>
      </c>
      <c r="C22" s="23">
        <f>C13*C21+(1-C13)*C20</f>
        <v>7.2600000000000012E-2</v>
      </c>
      <c r="D22" s="23">
        <f>D13*D21+(1-D13)*D20</f>
        <v>7.2600000000000012E-2</v>
      </c>
    </row>
    <row r="23" spans="1:20" x14ac:dyDescent="0.3">
      <c r="A23" t="s">
        <v>27</v>
      </c>
      <c r="C23" s="13">
        <f>C16*(1-C12)</f>
        <v>0.11249999999999999</v>
      </c>
      <c r="D23" s="13">
        <f>D16*(1-D12)</f>
        <v>0.11249999999999999</v>
      </c>
    </row>
    <row r="24" spans="1:20" ht="15" thickBot="1" x14ac:dyDescent="0.35">
      <c r="A24" t="s">
        <v>28</v>
      </c>
      <c r="C24" s="1">
        <f>+C17</f>
        <v>0.7</v>
      </c>
      <c r="D24" s="1">
        <f>+D17</f>
        <v>0.7</v>
      </c>
    </row>
    <row r="25" spans="1:20" ht="15" thickBot="1" x14ac:dyDescent="0.35">
      <c r="A25" t="s">
        <v>29</v>
      </c>
      <c r="C25" s="39"/>
      <c r="D25" s="40"/>
    </row>
    <row r="27" spans="1:20" x14ac:dyDescent="0.3">
      <c r="A27" t="s">
        <v>42</v>
      </c>
    </row>
    <row r="28" spans="1:20" x14ac:dyDescent="0.3">
      <c r="A28" t="s">
        <v>43</v>
      </c>
    </row>
    <row r="29" spans="1:20" x14ac:dyDescent="0.3">
      <c r="A29" t="s">
        <v>44</v>
      </c>
    </row>
    <row r="31" spans="1:20" x14ac:dyDescent="0.3">
      <c r="A31" s="12" t="s">
        <v>30</v>
      </c>
      <c r="H31" s="12" t="s">
        <v>31</v>
      </c>
      <c r="O31" s="12" t="s">
        <v>32</v>
      </c>
    </row>
    <row r="32" spans="1:20" x14ac:dyDescent="0.3">
      <c r="A32" t="s">
        <v>3</v>
      </c>
      <c r="B32" t="s">
        <v>33</v>
      </c>
      <c r="C32" t="s">
        <v>34</v>
      </c>
      <c r="D32" t="s">
        <v>35</v>
      </c>
      <c r="E32" t="s">
        <v>36</v>
      </c>
      <c r="F32" t="s">
        <v>37</v>
      </c>
      <c r="I32" t="s">
        <v>33</v>
      </c>
      <c r="J32" t="s">
        <v>34</v>
      </c>
      <c r="K32" t="s">
        <v>35</v>
      </c>
      <c r="L32" t="s">
        <v>36</v>
      </c>
      <c r="M32" t="s">
        <v>37</v>
      </c>
      <c r="P32" t="s">
        <v>33</v>
      </c>
      <c r="Q32" t="s">
        <v>34</v>
      </c>
      <c r="R32" t="s">
        <v>35</v>
      </c>
      <c r="S32" t="s">
        <v>36</v>
      </c>
      <c r="T32" t="s">
        <v>37</v>
      </c>
    </row>
    <row r="33" spans="1:20" x14ac:dyDescent="0.3">
      <c r="A33">
        <v>1</v>
      </c>
      <c r="B33" s="24"/>
      <c r="C33" s="1"/>
      <c r="D33" s="2"/>
      <c r="E33" s="26"/>
      <c r="F33" s="26"/>
      <c r="H33">
        <v>1</v>
      </c>
      <c r="I33" s="24"/>
      <c r="J33" s="1"/>
      <c r="K33" s="2"/>
      <c r="L33" s="26"/>
      <c r="M33" s="26"/>
      <c r="O33">
        <v>1</v>
      </c>
      <c r="P33" s="24"/>
      <c r="Q33" s="1"/>
      <c r="R33" s="2"/>
      <c r="S33" s="26"/>
      <c r="T33" s="26"/>
    </row>
    <row r="34" spans="1:20" x14ac:dyDescent="0.3">
      <c r="A34">
        <v>2</v>
      </c>
      <c r="B34" s="26"/>
      <c r="C34" s="1"/>
      <c r="D34" s="2"/>
      <c r="E34" s="26"/>
      <c r="F34" s="26"/>
      <c r="H34">
        <v>2</v>
      </c>
      <c r="I34" s="26"/>
      <c r="J34" s="1"/>
      <c r="K34" s="2"/>
      <c r="L34" s="26"/>
      <c r="M34" s="26"/>
      <c r="O34">
        <v>2</v>
      </c>
      <c r="P34" s="26"/>
      <c r="Q34" s="1"/>
      <c r="R34" s="2"/>
      <c r="S34" s="26"/>
      <c r="T34" s="26"/>
    </row>
    <row r="35" spans="1:20" x14ac:dyDescent="0.3">
      <c r="A35">
        <v>3</v>
      </c>
      <c r="B35" s="26"/>
      <c r="C35" s="1"/>
      <c r="D35" s="2"/>
      <c r="E35" s="26"/>
      <c r="F35" s="26"/>
      <c r="H35">
        <v>3</v>
      </c>
      <c r="I35" s="26"/>
      <c r="J35" s="1"/>
      <c r="K35" s="2"/>
      <c r="L35" s="26"/>
      <c r="M35" s="26"/>
      <c r="O35">
        <v>3</v>
      </c>
      <c r="P35" s="26"/>
      <c r="Q35" s="1"/>
      <c r="R35" s="2"/>
      <c r="S35" s="26"/>
      <c r="T35" s="26"/>
    </row>
    <row r="36" spans="1:20" x14ac:dyDescent="0.3">
      <c r="A36">
        <v>4</v>
      </c>
      <c r="B36" s="26"/>
      <c r="C36" s="1"/>
      <c r="D36" s="2"/>
      <c r="E36" s="26"/>
      <c r="F36" s="26"/>
      <c r="H36">
        <v>4</v>
      </c>
      <c r="I36" s="26"/>
      <c r="J36" s="1"/>
      <c r="K36" s="2"/>
      <c r="L36" s="26"/>
      <c r="M36" s="26"/>
      <c r="O36">
        <v>4</v>
      </c>
      <c r="P36" s="26"/>
      <c r="Q36" s="1"/>
      <c r="R36" s="2"/>
      <c r="S36" s="26"/>
      <c r="T36" s="26"/>
    </row>
    <row r="37" spans="1:20" ht="15" thickBot="1" x14ac:dyDescent="0.35">
      <c r="A37">
        <v>5</v>
      </c>
      <c r="B37" s="26"/>
      <c r="C37" s="1"/>
      <c r="D37" s="2"/>
      <c r="E37" s="26"/>
      <c r="F37" s="26"/>
      <c r="H37">
        <v>5</v>
      </c>
      <c r="I37" s="26"/>
      <c r="J37" s="1"/>
      <c r="K37" s="2"/>
      <c r="L37" s="26"/>
      <c r="M37" s="26"/>
      <c r="O37">
        <v>5</v>
      </c>
      <c r="P37" s="26"/>
      <c r="Q37" s="1"/>
      <c r="R37" s="2"/>
      <c r="S37" s="26"/>
      <c r="T37" s="26"/>
    </row>
    <row r="38" spans="1:20" ht="15" thickBot="1" x14ac:dyDescent="0.35">
      <c r="A38">
        <v>6</v>
      </c>
      <c r="B38" s="26"/>
      <c r="C38" s="38"/>
      <c r="D38" s="2"/>
      <c r="E38" s="26"/>
      <c r="H38">
        <v>6</v>
      </c>
      <c r="I38" s="27"/>
      <c r="J38" s="38"/>
      <c r="K38" s="2"/>
      <c r="L38" s="26"/>
      <c r="O38">
        <v>6</v>
      </c>
      <c r="P38" s="27"/>
      <c r="Q38" s="38"/>
      <c r="R38" s="2"/>
      <c r="S38" s="26"/>
    </row>
    <row r="39" spans="1:20" x14ac:dyDescent="0.3">
      <c r="A39" t="s">
        <v>38</v>
      </c>
      <c r="B39" s="28"/>
      <c r="H39" t="s">
        <v>38</v>
      </c>
      <c r="I39" s="27"/>
      <c r="O39" t="s">
        <v>38</v>
      </c>
      <c r="P39" s="27"/>
    </row>
    <row r="40" spans="1:20" x14ac:dyDescent="0.3">
      <c r="B40" s="28"/>
    </row>
    <row r="41" spans="1:20" x14ac:dyDescent="0.3">
      <c r="A41" t="s">
        <v>39</v>
      </c>
      <c r="B41" s="29"/>
      <c r="H41" t="s">
        <v>39</v>
      </c>
      <c r="I41" s="29"/>
      <c r="O41" t="s">
        <v>39</v>
      </c>
      <c r="P41" s="28"/>
      <c r="T41" s="6"/>
    </row>
    <row r="42" spans="1:20" ht="15" thickBot="1" x14ac:dyDescent="0.35">
      <c r="A42" t="s">
        <v>40</v>
      </c>
      <c r="B42" s="30"/>
      <c r="D42" s="25"/>
      <c r="E42" s="26"/>
      <c r="F42" s="26"/>
      <c r="H42" t="s">
        <v>40</v>
      </c>
      <c r="I42" s="28"/>
      <c r="O42" t="s">
        <v>40</v>
      </c>
      <c r="P42" s="28"/>
      <c r="T42" s="6"/>
    </row>
    <row r="43" spans="1:20" ht="15" thickBot="1" x14ac:dyDescent="0.35">
      <c r="A43" t="s">
        <v>0</v>
      </c>
      <c r="B43" s="36"/>
      <c r="H43" t="s">
        <v>0</v>
      </c>
      <c r="I43" s="36"/>
      <c r="O43" t="s">
        <v>0</v>
      </c>
      <c r="P43" s="36"/>
      <c r="T43" s="6"/>
    </row>
    <row r="45" spans="1:20" x14ac:dyDescent="0.3">
      <c r="B45" s="14"/>
      <c r="C45" s="14"/>
      <c r="D45" s="14"/>
      <c r="E45" s="14"/>
      <c r="G45" s="14"/>
      <c r="H45" s="14"/>
      <c r="I45" s="14"/>
      <c r="J45" s="14"/>
      <c r="L45" s="14"/>
      <c r="M45" s="14"/>
      <c r="N45" s="14"/>
      <c r="O45" s="14"/>
    </row>
    <row r="46" spans="1:20" x14ac:dyDescent="0.3">
      <c r="B46" s="14"/>
      <c r="C46" s="14"/>
      <c r="D46" s="14"/>
      <c r="E46" s="14"/>
      <c r="G46" s="14"/>
      <c r="H46" s="14"/>
      <c r="I46" s="14"/>
      <c r="J46" s="14"/>
      <c r="L46" s="14"/>
      <c r="M46" s="14"/>
      <c r="N46" s="14"/>
      <c r="O46" s="14"/>
    </row>
    <row r="50" spans="4:19" x14ac:dyDescent="0.3">
      <c r="D50" s="1"/>
      <c r="E50" s="10"/>
      <c r="H50" s="21"/>
      <c r="N50" s="9"/>
      <c r="O50" s="9"/>
    </row>
    <row r="51" spans="4:19" x14ac:dyDescent="0.3">
      <c r="D51" s="1"/>
      <c r="E51" s="10"/>
      <c r="H51" s="21"/>
      <c r="N51" s="9"/>
      <c r="O51" s="9"/>
    </row>
    <row r="52" spans="4:19" x14ac:dyDescent="0.3">
      <c r="D52" s="1"/>
      <c r="E52" s="10"/>
      <c r="H52" s="21"/>
      <c r="N52" s="9"/>
      <c r="O52" s="9"/>
    </row>
    <row r="53" spans="4:19" x14ac:dyDescent="0.3">
      <c r="H53" s="1"/>
      <c r="N53" s="9"/>
      <c r="O53" s="9"/>
    </row>
    <row r="54" spans="4:19" x14ac:dyDescent="0.3">
      <c r="D54" s="1"/>
      <c r="E54" s="10"/>
      <c r="H54" s="1"/>
      <c r="N54" s="9"/>
      <c r="O54" s="9"/>
    </row>
    <row r="55" spans="4:19" x14ac:dyDescent="0.3">
      <c r="D55" s="1"/>
      <c r="E55" s="10"/>
      <c r="N55" s="9"/>
      <c r="O55" s="9"/>
    </row>
    <row r="58" spans="4:19" x14ac:dyDescent="0.3">
      <c r="D58" s="1"/>
      <c r="E58" s="10"/>
      <c r="L58" s="1"/>
    </row>
    <row r="59" spans="4:19" x14ac:dyDescent="0.3">
      <c r="R59" s="1"/>
      <c r="S59"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34ACF-B559-414A-B516-C2A0C8171C68}">
  <sheetPr codeName="Sheet14">
    <tabColor theme="9" tint="0.59999389629810485"/>
  </sheetPr>
  <dimension ref="A1:T79"/>
  <sheetViews>
    <sheetView zoomScale="115" zoomScaleNormal="115" workbookViewId="0"/>
  </sheetViews>
  <sheetFormatPr defaultRowHeight="14.4" x14ac:dyDescent="0.3"/>
  <cols>
    <col min="1" max="1" width="11.21875" customWidth="1"/>
    <col min="2" max="6" width="12.77734375" customWidth="1"/>
    <col min="7" max="7" width="7.109375" customWidth="1"/>
    <col min="8" max="8" width="12.77734375" customWidth="1"/>
    <col min="9" max="9" width="19.77734375" bestFit="1" customWidth="1"/>
    <col min="10" max="13" width="12.77734375" customWidth="1"/>
    <col min="14" max="14" width="5.88671875" customWidth="1"/>
    <col min="15" max="15" width="12.77734375" customWidth="1"/>
    <col min="16" max="16" width="11.6640625" customWidth="1"/>
  </cols>
  <sheetData>
    <row r="1" spans="1:6" x14ac:dyDescent="0.3">
      <c r="A1" s="7" t="s">
        <v>1</v>
      </c>
    </row>
    <row r="2" spans="1:6" x14ac:dyDescent="0.3">
      <c r="A2" t="s">
        <v>41</v>
      </c>
    </row>
    <row r="4" spans="1:6" x14ac:dyDescent="0.3">
      <c r="A4" s="7" t="s">
        <v>9</v>
      </c>
      <c r="F4" s="7" t="s">
        <v>45</v>
      </c>
    </row>
    <row r="5" spans="1:6" x14ac:dyDescent="0.3">
      <c r="A5" t="s">
        <v>10</v>
      </c>
    </row>
    <row r="6" spans="1:6" x14ac:dyDescent="0.3">
      <c r="A6" t="s">
        <v>11</v>
      </c>
      <c r="C6" s="13">
        <v>4.2500000000000003E-2</v>
      </c>
      <c r="F6" t="s">
        <v>47</v>
      </c>
    </row>
    <row r="7" spans="1:6" x14ac:dyDescent="0.3">
      <c r="A7" t="s">
        <v>12</v>
      </c>
      <c r="C7" s="13">
        <v>0.04</v>
      </c>
    </row>
    <row r="8" spans="1:6" x14ac:dyDescent="0.3">
      <c r="C8" s="13"/>
    </row>
    <row r="9" spans="1:6" x14ac:dyDescent="0.3">
      <c r="C9" s="31" t="s">
        <v>13</v>
      </c>
      <c r="D9" s="31" t="s">
        <v>14</v>
      </c>
    </row>
    <row r="10" spans="1:6" x14ac:dyDescent="0.3">
      <c r="A10" t="s">
        <v>15</v>
      </c>
      <c r="C10">
        <v>0.85</v>
      </c>
      <c r="D10">
        <v>0.85</v>
      </c>
    </row>
    <row r="11" spans="1:6" x14ac:dyDescent="0.3">
      <c r="A11" t="s">
        <v>16</v>
      </c>
      <c r="C11" s="1">
        <v>0.05</v>
      </c>
      <c r="D11" s="1">
        <v>0.05</v>
      </c>
    </row>
    <row r="12" spans="1:6" x14ac:dyDescent="0.3">
      <c r="A12" t="s">
        <v>17</v>
      </c>
      <c r="C12" s="1">
        <v>0.25</v>
      </c>
      <c r="D12" s="1">
        <v>0.25</v>
      </c>
    </row>
    <row r="13" spans="1:6" x14ac:dyDescent="0.3">
      <c r="A13" t="s">
        <v>48</v>
      </c>
      <c r="C13" s="1">
        <v>0.1</v>
      </c>
      <c r="D13" s="1">
        <v>0.1</v>
      </c>
    </row>
    <row r="14" spans="1:6" x14ac:dyDescent="0.3">
      <c r="A14" t="s">
        <v>18</v>
      </c>
      <c r="C14" s="22">
        <v>1000</v>
      </c>
      <c r="D14" s="22">
        <v>500</v>
      </c>
    </row>
    <row r="15" spans="1:6" x14ac:dyDescent="0.3">
      <c r="A15" t="s">
        <v>19</v>
      </c>
      <c r="C15" s="22">
        <v>50</v>
      </c>
      <c r="D15" s="22">
        <v>25</v>
      </c>
    </row>
    <row r="16" spans="1:6" x14ac:dyDescent="0.3">
      <c r="A16" t="s">
        <v>20</v>
      </c>
      <c r="C16" s="1">
        <v>0.15</v>
      </c>
      <c r="D16" s="1">
        <v>0.15</v>
      </c>
    </row>
    <row r="17" spans="1:20" x14ac:dyDescent="0.3">
      <c r="A17" t="s">
        <v>21</v>
      </c>
      <c r="C17" s="1">
        <v>0.7</v>
      </c>
      <c r="D17" s="1">
        <v>0.7</v>
      </c>
    </row>
    <row r="18" spans="1:20" x14ac:dyDescent="0.3">
      <c r="A18" t="s">
        <v>22</v>
      </c>
      <c r="C18" s="6" t="s">
        <v>23</v>
      </c>
      <c r="D18" s="6" t="s">
        <v>23</v>
      </c>
      <c r="F18" t="s">
        <v>46</v>
      </c>
    </row>
    <row r="20" spans="1:20" x14ac:dyDescent="0.3">
      <c r="A20" t="s">
        <v>24</v>
      </c>
      <c r="C20" s="13">
        <f>C6+C10*C7</f>
        <v>7.6500000000000012E-2</v>
      </c>
      <c r="D20" s="13">
        <f>+C6+D10*C7</f>
        <v>7.6500000000000012E-2</v>
      </c>
    </row>
    <row r="21" spans="1:20" x14ac:dyDescent="0.3">
      <c r="A21" t="s">
        <v>25</v>
      </c>
      <c r="C21" s="13">
        <f>C11*(1-C12)</f>
        <v>3.7500000000000006E-2</v>
      </c>
      <c r="D21" s="13">
        <f>D11*(1-D12)</f>
        <v>3.7500000000000006E-2</v>
      </c>
    </row>
    <row r="22" spans="1:20" x14ac:dyDescent="0.3">
      <c r="A22" t="s">
        <v>26</v>
      </c>
      <c r="C22" s="23">
        <f>C13*C21+(1-C13)*C20</f>
        <v>7.2600000000000012E-2</v>
      </c>
      <c r="D22" s="23">
        <f>D13*D21+(1-D13)*D20</f>
        <v>7.2600000000000012E-2</v>
      </c>
    </row>
    <row r="23" spans="1:20" x14ac:dyDescent="0.3">
      <c r="A23" t="s">
        <v>27</v>
      </c>
      <c r="C23" s="13">
        <f>C16*(1-C12)</f>
        <v>0.11249999999999999</v>
      </c>
      <c r="D23" s="13">
        <f>D16*(1-D12)</f>
        <v>0.11249999999999999</v>
      </c>
    </row>
    <row r="24" spans="1:20" ht="15" thickBot="1" x14ac:dyDescent="0.35">
      <c r="A24" t="s">
        <v>28</v>
      </c>
      <c r="C24" s="1">
        <f>+C17</f>
        <v>0.7</v>
      </c>
      <c r="D24" s="1">
        <f>+D17</f>
        <v>0.7</v>
      </c>
    </row>
    <row r="25" spans="1:20" ht="15" thickBot="1" x14ac:dyDescent="0.35">
      <c r="A25" t="s">
        <v>29</v>
      </c>
      <c r="C25" s="39">
        <f>+C23*C24</f>
        <v>7.8749999999999987E-2</v>
      </c>
      <c r="D25" s="40">
        <f>+D23*D24</f>
        <v>7.8749999999999987E-2</v>
      </c>
      <c r="F25" s="41" t="s">
        <v>49</v>
      </c>
      <c r="G25" s="41"/>
      <c r="H25" s="41"/>
      <c r="I25" s="41"/>
      <c r="J25" s="41"/>
      <c r="K25" s="41"/>
    </row>
    <row r="27" spans="1:20" x14ac:dyDescent="0.3">
      <c r="A27" t="s">
        <v>42</v>
      </c>
    </row>
    <row r="28" spans="1:20" x14ac:dyDescent="0.3">
      <c r="A28" t="s">
        <v>43</v>
      </c>
    </row>
    <row r="29" spans="1:20" x14ac:dyDescent="0.3">
      <c r="A29" t="s">
        <v>44</v>
      </c>
    </row>
    <row r="31" spans="1:20" x14ac:dyDescent="0.3">
      <c r="A31" s="12" t="s">
        <v>30</v>
      </c>
      <c r="H31" s="12" t="s">
        <v>31</v>
      </c>
      <c r="O31" s="12" t="s">
        <v>32</v>
      </c>
    </row>
    <row r="32" spans="1:20" x14ac:dyDescent="0.3">
      <c r="A32" t="s">
        <v>3</v>
      </c>
      <c r="B32" t="s">
        <v>33</v>
      </c>
      <c r="C32" t="s">
        <v>34</v>
      </c>
      <c r="D32" t="s">
        <v>35</v>
      </c>
      <c r="E32" t="s">
        <v>36</v>
      </c>
      <c r="F32" t="s">
        <v>37</v>
      </c>
      <c r="I32" t="s">
        <v>33</v>
      </c>
      <c r="J32" t="s">
        <v>34</v>
      </c>
      <c r="K32" t="s">
        <v>35</v>
      </c>
      <c r="L32" t="s">
        <v>36</v>
      </c>
      <c r="M32" t="s">
        <v>37</v>
      </c>
      <c r="P32" t="s">
        <v>33</v>
      </c>
      <c r="Q32" t="s">
        <v>34</v>
      </c>
      <c r="R32" t="s">
        <v>35</v>
      </c>
      <c r="S32" t="s">
        <v>36</v>
      </c>
      <c r="T32" t="s">
        <v>37</v>
      </c>
    </row>
    <row r="33" spans="1:20" x14ac:dyDescent="0.3">
      <c r="A33">
        <v>1</v>
      </c>
      <c r="B33" s="24">
        <f>+C15*(1+C25)</f>
        <v>53.937499999999993</v>
      </c>
      <c r="C33" s="1">
        <f>+C17</f>
        <v>0.7</v>
      </c>
      <c r="D33" s="2">
        <f>+C12</f>
        <v>0.25</v>
      </c>
      <c r="E33" s="26">
        <f>B33*(1-C33)*(1-D33)</f>
        <v>12.135937499999999</v>
      </c>
      <c r="F33" s="26">
        <f>E33/(1+$C$22)^A33</f>
        <v>11.314504475107215</v>
      </c>
      <c r="H33">
        <v>1</v>
      </c>
      <c r="I33" s="24">
        <f>+D15*(1+D25)</f>
        <v>26.968749999999996</v>
      </c>
      <c r="J33" s="1">
        <f>+D17</f>
        <v>0.7</v>
      </c>
      <c r="K33" s="2">
        <f>+D12</f>
        <v>0.25</v>
      </c>
      <c r="L33" s="26">
        <f>I33*(1-J33)*(1-K33)</f>
        <v>6.0679687499999995</v>
      </c>
      <c r="M33" s="26">
        <f>L33/(1+$D$22)^H33</f>
        <v>5.6572522375536076</v>
      </c>
      <c r="O33">
        <v>1</v>
      </c>
      <c r="P33" s="24">
        <f>(+C15+D15)*(1+C25)</f>
        <v>80.906249999999986</v>
      </c>
      <c r="Q33" s="1">
        <f>+C17</f>
        <v>0.7</v>
      </c>
      <c r="R33" s="2">
        <f>+C12</f>
        <v>0.25</v>
      </c>
      <c r="S33" s="26">
        <f>P33*(1-Q33)*(1-R33)</f>
        <v>18.203906249999999</v>
      </c>
      <c r="T33" s="26">
        <f>S33/(1+C22)^O33</f>
        <v>16.971756712660824</v>
      </c>
    </row>
    <row r="34" spans="1:20" x14ac:dyDescent="0.3">
      <c r="A34">
        <v>2</v>
      </c>
      <c r="B34" s="26">
        <f>B33*(1+$C$25)</f>
        <v>58.185078124999983</v>
      </c>
      <c r="C34" s="1">
        <f>+C33</f>
        <v>0.7</v>
      </c>
      <c r="D34" s="2">
        <f>+D33</f>
        <v>0.25</v>
      </c>
      <c r="E34" s="26">
        <f t="shared" ref="E34:E37" si="0">B34*(1-C34)*(1-D34)</f>
        <v>13.091642578124999</v>
      </c>
      <c r="F34" s="26">
        <f t="shared" ref="F34:F37" si="1">E34/(1+$C$22)^A34</f>
        <v>11.379378801530775</v>
      </c>
      <c r="H34">
        <v>2</v>
      </c>
      <c r="I34" s="26">
        <f>I33*(1+$D$25)</f>
        <v>29.092539062499991</v>
      </c>
      <c r="J34" s="1">
        <f>+J33</f>
        <v>0.7</v>
      </c>
      <c r="K34" s="2">
        <f>+K33</f>
        <v>0.25</v>
      </c>
      <c r="L34" s="26">
        <f t="shared" ref="L34:L37" si="2">I34*(1-J34)*(1-K34)</f>
        <v>6.5458212890624994</v>
      </c>
      <c r="M34" s="26">
        <f t="shared" ref="M34:M37" si="3">L34/(1+$D$22)^H34</f>
        <v>5.6896894007653875</v>
      </c>
      <c r="O34">
        <v>2</v>
      </c>
      <c r="P34" s="26">
        <f>P33*(1+$C$25)</f>
        <v>87.27761718749997</v>
      </c>
      <c r="Q34" s="1">
        <f>+Q33</f>
        <v>0.7</v>
      </c>
      <c r="R34" s="2">
        <f>+R33</f>
        <v>0.25</v>
      </c>
      <c r="S34" s="26">
        <f t="shared" ref="S34:S37" si="4">P34*(1-Q34)*(1-R34)</f>
        <v>19.637463867187495</v>
      </c>
      <c r="T34" s="26">
        <f>S34/(1+$C$22)^O34</f>
        <v>17.069068202296158</v>
      </c>
    </row>
    <row r="35" spans="1:20" x14ac:dyDescent="0.3">
      <c r="A35">
        <v>3</v>
      </c>
      <c r="B35" s="26">
        <f t="shared" ref="B35:B37" si="5">B34*(1+$C$25)</f>
        <v>62.767153027343724</v>
      </c>
      <c r="C35" s="1">
        <f t="shared" ref="C35:D38" si="6">+C34</f>
        <v>0.7</v>
      </c>
      <c r="D35" s="2">
        <f t="shared" si="6"/>
        <v>0.25</v>
      </c>
      <c r="E35" s="26">
        <f t="shared" si="0"/>
        <v>14.122609431152341</v>
      </c>
      <c r="F35" s="26">
        <f t="shared" si="1"/>
        <v>11.444625099898678</v>
      </c>
      <c r="H35">
        <v>3</v>
      </c>
      <c r="I35" s="26">
        <f t="shared" ref="I35:I37" si="7">I34*(1+$D$25)</f>
        <v>31.383576513671862</v>
      </c>
      <c r="J35" s="1">
        <f t="shared" ref="J35:K38" si="8">+J34</f>
        <v>0.7</v>
      </c>
      <c r="K35" s="2">
        <f t="shared" si="8"/>
        <v>0.25</v>
      </c>
      <c r="L35" s="26">
        <f t="shared" si="2"/>
        <v>7.0613047155761706</v>
      </c>
      <c r="M35" s="26">
        <f t="shared" si="3"/>
        <v>5.722312549949339</v>
      </c>
      <c r="O35">
        <v>3</v>
      </c>
      <c r="P35" s="26">
        <f t="shared" ref="P35:P37" si="9">P34*(1+$C$25)</f>
        <v>94.150729541015579</v>
      </c>
      <c r="Q35" s="1">
        <f t="shared" ref="Q35:R38" si="10">+Q34</f>
        <v>0.7</v>
      </c>
      <c r="R35" s="2">
        <f t="shared" si="10"/>
        <v>0.25</v>
      </c>
      <c r="S35" s="26">
        <f t="shared" si="4"/>
        <v>21.183914146728508</v>
      </c>
      <c r="T35" s="26">
        <f t="shared" ref="T35:T37" si="11">S35/(1+$C$22)^O35</f>
        <v>17.166937649848013</v>
      </c>
    </row>
    <row r="36" spans="1:20" x14ac:dyDescent="0.3">
      <c r="A36">
        <v>4</v>
      </c>
      <c r="B36" s="26">
        <f t="shared" si="5"/>
        <v>67.710066328247038</v>
      </c>
      <c r="C36" s="1">
        <f t="shared" si="6"/>
        <v>0.7</v>
      </c>
      <c r="D36" s="2">
        <f t="shared" si="6"/>
        <v>0.25</v>
      </c>
      <c r="E36" s="26">
        <f t="shared" si="0"/>
        <v>15.234764923855586</v>
      </c>
      <c r="F36" s="26">
        <f t="shared" si="1"/>
        <v>11.510245502998041</v>
      </c>
      <c r="H36">
        <v>4</v>
      </c>
      <c r="I36" s="26">
        <f t="shared" si="7"/>
        <v>33.855033164123519</v>
      </c>
      <c r="J36" s="1">
        <f t="shared" si="8"/>
        <v>0.7</v>
      </c>
      <c r="K36" s="2">
        <f t="shared" si="8"/>
        <v>0.25</v>
      </c>
      <c r="L36" s="26">
        <f t="shared" si="2"/>
        <v>7.617382461927793</v>
      </c>
      <c r="M36" s="26">
        <f t="shared" si="3"/>
        <v>5.7551227514990204</v>
      </c>
      <c r="O36">
        <v>4</v>
      </c>
      <c r="P36" s="26">
        <f t="shared" si="9"/>
        <v>101.56509949237055</v>
      </c>
      <c r="Q36" s="1">
        <f t="shared" si="10"/>
        <v>0.7</v>
      </c>
      <c r="R36" s="2">
        <f t="shared" si="10"/>
        <v>0.25</v>
      </c>
      <c r="S36" s="26">
        <f t="shared" si="4"/>
        <v>22.852147385783375</v>
      </c>
      <c r="T36" s="26">
        <f t="shared" si="11"/>
        <v>17.265368254497059</v>
      </c>
    </row>
    <row r="37" spans="1:20" ht="15" thickBot="1" x14ac:dyDescent="0.35">
      <c r="A37">
        <v>5</v>
      </c>
      <c r="B37" s="26">
        <f t="shared" si="5"/>
        <v>73.042234051596481</v>
      </c>
      <c r="C37" s="1">
        <f t="shared" si="6"/>
        <v>0.7</v>
      </c>
      <c r="D37" s="2">
        <f t="shared" si="6"/>
        <v>0.25</v>
      </c>
      <c r="E37" s="26">
        <f t="shared" si="0"/>
        <v>16.434502661609208</v>
      </c>
      <c r="F37" s="26">
        <f t="shared" si="1"/>
        <v>11.576242155844801</v>
      </c>
      <c r="H37">
        <v>5</v>
      </c>
      <c r="I37" s="26">
        <f t="shared" si="7"/>
        <v>36.52111702579824</v>
      </c>
      <c r="J37" s="1">
        <f t="shared" si="8"/>
        <v>0.7</v>
      </c>
      <c r="K37" s="2">
        <f t="shared" si="8"/>
        <v>0.25</v>
      </c>
      <c r="L37" s="26">
        <f t="shared" si="2"/>
        <v>8.2172513308046042</v>
      </c>
      <c r="M37" s="26">
        <f t="shared" si="3"/>
        <v>5.7881210779224004</v>
      </c>
      <c r="O37">
        <v>5</v>
      </c>
      <c r="P37" s="26">
        <f t="shared" si="9"/>
        <v>109.56335107739471</v>
      </c>
      <c r="Q37" s="1">
        <f t="shared" si="10"/>
        <v>0.7</v>
      </c>
      <c r="R37" s="2">
        <f t="shared" si="10"/>
        <v>0.25</v>
      </c>
      <c r="S37" s="26">
        <f t="shared" si="4"/>
        <v>24.651753992413813</v>
      </c>
      <c r="T37" s="26">
        <f t="shared" si="11"/>
        <v>17.3643632337672</v>
      </c>
    </row>
    <row r="38" spans="1:20" ht="15" thickBot="1" x14ac:dyDescent="0.35">
      <c r="A38">
        <v>6</v>
      </c>
      <c r="B38" s="26">
        <f>B37*(1+C6)</f>
        <v>76.146528998789336</v>
      </c>
      <c r="C38" s="38">
        <f>$C$6/$C$22</f>
        <v>0.58539944903581265</v>
      </c>
      <c r="D38" s="2">
        <f t="shared" si="6"/>
        <v>0.25</v>
      </c>
      <c r="E38" s="26">
        <f>B38*(1-C38)*(1-D38)</f>
        <v>23.677794657681396</v>
      </c>
      <c r="H38">
        <v>6</v>
      </c>
      <c r="I38" s="27">
        <f>I37*(1+C6)</f>
        <v>38.073264499394668</v>
      </c>
      <c r="J38" s="38">
        <f>$C$6/$C$22</f>
        <v>0.58539944903581265</v>
      </c>
      <c r="K38" s="2">
        <f t="shared" si="8"/>
        <v>0.25</v>
      </c>
      <c r="L38" s="26">
        <f>I38*(1-J38)*(1-K38)</f>
        <v>11.838897328840698</v>
      </c>
      <c r="O38">
        <v>6</v>
      </c>
      <c r="P38" s="27">
        <f>P37*(1+C6)</f>
        <v>114.21979349818399</v>
      </c>
      <c r="Q38" s="38">
        <f>$C$6/$C$22</f>
        <v>0.58539944903581265</v>
      </c>
      <c r="R38" s="2">
        <f t="shared" si="10"/>
        <v>0.25</v>
      </c>
      <c r="S38" s="26">
        <f>P38*(1-Q38)*(1-R38)</f>
        <v>35.51669198652209</v>
      </c>
    </row>
    <row r="39" spans="1:20" x14ac:dyDescent="0.3">
      <c r="A39" t="s">
        <v>38</v>
      </c>
      <c r="B39" s="28">
        <f>E38/(C22-C6)</f>
        <v>786.63769626848466</v>
      </c>
      <c r="H39" t="s">
        <v>38</v>
      </c>
      <c r="I39" s="27">
        <f>L38/(C22-C6)</f>
        <v>393.31884813424233</v>
      </c>
      <c r="O39" t="s">
        <v>38</v>
      </c>
      <c r="P39" s="27">
        <f>S38/(C22-C6)</f>
        <v>1179.9565444027269</v>
      </c>
    </row>
    <row r="40" spans="1:20" x14ac:dyDescent="0.3">
      <c r="B40" s="28"/>
    </row>
    <row r="41" spans="1:20" x14ac:dyDescent="0.3">
      <c r="A41" t="s">
        <v>39</v>
      </c>
      <c r="B41" s="29">
        <f>SUM(F33:F37)</f>
        <v>57.224996035379512</v>
      </c>
      <c r="H41" t="s">
        <v>39</v>
      </c>
      <c r="I41" s="29">
        <f>SUM(M33:M37)</f>
        <v>28.612498017689756</v>
      </c>
      <c r="O41" t="s">
        <v>39</v>
      </c>
      <c r="P41" s="28">
        <f>SUM(T33:T37)</f>
        <v>85.837494053069264</v>
      </c>
      <c r="T41" s="6"/>
    </row>
    <row r="42" spans="1:20" ht="15" thickBot="1" x14ac:dyDescent="0.35">
      <c r="A42" t="s">
        <v>40</v>
      </c>
      <c r="B42" s="30">
        <f>B39/(1+C22)^5</f>
        <v>554.09699024188251</v>
      </c>
      <c r="D42" s="25"/>
      <c r="E42" s="26"/>
      <c r="F42" s="26"/>
      <c r="H42" t="s">
        <v>40</v>
      </c>
      <c r="I42" s="28">
        <f>I39/(1+C22)^5</f>
        <v>277.04849512094125</v>
      </c>
      <c r="O42" t="s">
        <v>40</v>
      </c>
      <c r="P42" s="28">
        <f>P39/(1+C22)^5</f>
        <v>831.14548536282371</v>
      </c>
      <c r="T42" s="6"/>
    </row>
    <row r="43" spans="1:20" ht="15" thickBot="1" x14ac:dyDescent="0.35">
      <c r="A43" t="s">
        <v>0</v>
      </c>
      <c r="B43" s="36">
        <f>SUM(B41:B42)</f>
        <v>611.321986277262</v>
      </c>
      <c r="H43" t="s">
        <v>0</v>
      </c>
      <c r="I43" s="36">
        <f>SUM(I41:I42)</f>
        <v>305.660993138631</v>
      </c>
      <c r="O43" t="s">
        <v>0</v>
      </c>
      <c r="P43" s="36">
        <f>P41+P42</f>
        <v>916.98297941589294</v>
      </c>
      <c r="T43" s="6"/>
    </row>
    <row r="45" spans="1:20" x14ac:dyDescent="0.3">
      <c r="B45" s="14"/>
      <c r="C45" s="14"/>
      <c r="D45" s="14"/>
      <c r="E45" s="14"/>
      <c r="G45" s="14"/>
      <c r="H45" s="14"/>
      <c r="I45" s="14"/>
      <c r="J45" s="14"/>
      <c r="L45" s="14"/>
      <c r="M45" s="14"/>
      <c r="N45" s="14"/>
      <c r="O45" s="14"/>
    </row>
    <row r="46" spans="1:20" x14ac:dyDescent="0.3">
      <c r="C46" s="6"/>
      <c r="D46" s="10"/>
      <c r="E46" s="10"/>
      <c r="F46" s="10"/>
      <c r="G46" s="10"/>
      <c r="H46" s="10"/>
      <c r="I46" s="10"/>
      <c r="J46" s="10"/>
      <c r="K46" s="10"/>
      <c r="L46" s="10"/>
      <c r="M46" s="9"/>
    </row>
    <row r="47" spans="1:20" x14ac:dyDescent="0.3">
      <c r="E47" s="41" t="s">
        <v>50</v>
      </c>
      <c r="F47" s="41"/>
      <c r="G47" s="41"/>
      <c r="H47" s="41"/>
      <c r="I47" s="41"/>
      <c r="J47" s="41"/>
      <c r="K47" s="41"/>
      <c r="L47" s="41"/>
    </row>
    <row r="49" spans="1:13" x14ac:dyDescent="0.3">
      <c r="D49" s="6"/>
      <c r="E49" s="35"/>
    </row>
    <row r="50" spans="1:13" x14ac:dyDescent="0.3">
      <c r="D50" s="6"/>
      <c r="E50" s="35"/>
    </row>
    <row r="51" spans="1:13" x14ac:dyDescent="0.3">
      <c r="D51" s="6"/>
      <c r="E51" s="35"/>
    </row>
    <row r="55" spans="1:13" x14ac:dyDescent="0.3">
      <c r="A55" t="s">
        <v>2</v>
      </c>
    </row>
    <row r="57" spans="1:13" x14ac:dyDescent="0.3">
      <c r="D57" s="16"/>
      <c r="E57" s="16"/>
      <c r="F57" s="16"/>
      <c r="G57" s="16"/>
      <c r="H57" s="16"/>
      <c r="I57" s="16"/>
      <c r="J57" s="16"/>
      <c r="K57" s="16"/>
      <c r="L57" s="16"/>
      <c r="M57" s="16"/>
    </row>
    <row r="58" spans="1:13" x14ac:dyDescent="0.3">
      <c r="D58" s="32"/>
      <c r="E58" s="32"/>
      <c r="F58" s="32"/>
      <c r="G58" s="32"/>
      <c r="H58" s="32"/>
      <c r="I58" s="32"/>
      <c r="J58" s="32"/>
      <c r="K58" s="32"/>
      <c r="L58" s="32"/>
      <c r="M58" s="32"/>
    </row>
    <row r="59" spans="1:13" x14ac:dyDescent="0.3">
      <c r="C59" s="6"/>
      <c r="D59" s="32"/>
      <c r="E59" s="32"/>
      <c r="F59" s="32"/>
      <c r="G59" s="32"/>
      <c r="H59" s="32"/>
      <c r="I59" s="32"/>
      <c r="J59" s="32"/>
      <c r="K59" s="32"/>
      <c r="L59" s="32"/>
    </row>
    <row r="60" spans="1:13" x14ac:dyDescent="0.3">
      <c r="C60" s="6"/>
      <c r="D60" s="9"/>
      <c r="E60" s="9"/>
      <c r="F60" s="9"/>
      <c r="G60" s="9"/>
      <c r="H60" s="9"/>
      <c r="I60" s="9"/>
      <c r="J60" s="9"/>
      <c r="K60" s="9"/>
      <c r="L60" s="9"/>
    </row>
    <row r="61" spans="1:13" x14ac:dyDescent="0.3">
      <c r="C61" s="6"/>
      <c r="D61" s="33"/>
      <c r="E61" s="33"/>
      <c r="F61" s="33"/>
      <c r="G61" s="33"/>
      <c r="H61" s="33"/>
      <c r="I61" s="33"/>
      <c r="J61" s="33"/>
      <c r="K61" s="33"/>
      <c r="L61" s="33"/>
    </row>
    <row r="62" spans="1:13" x14ac:dyDescent="0.3">
      <c r="C62" s="6"/>
      <c r="D62" s="33"/>
      <c r="E62" s="33"/>
      <c r="F62" s="33"/>
      <c r="G62" s="33"/>
      <c r="H62" s="33"/>
      <c r="I62" s="33"/>
      <c r="J62" s="33"/>
      <c r="K62" s="33"/>
      <c r="L62" s="33"/>
    </row>
    <row r="63" spans="1:13" x14ac:dyDescent="0.3">
      <c r="C63" s="6"/>
      <c r="D63" s="10"/>
      <c r="E63" s="10"/>
      <c r="F63" s="10"/>
      <c r="G63" s="10"/>
      <c r="H63" s="10"/>
      <c r="I63" s="10"/>
      <c r="J63" s="10"/>
      <c r="K63" s="10"/>
      <c r="L63" s="10"/>
    </row>
    <row r="64" spans="1:13" x14ac:dyDescent="0.3">
      <c r="C64" s="6"/>
      <c r="D64" s="10"/>
      <c r="E64" s="10"/>
      <c r="F64" s="10"/>
      <c r="G64" s="10"/>
      <c r="H64" s="10"/>
      <c r="I64" s="10"/>
      <c r="J64" s="10"/>
      <c r="K64" s="10"/>
      <c r="L64" s="10"/>
    </row>
    <row r="66" spans="3:12" x14ac:dyDescent="0.3">
      <c r="C66" s="6"/>
      <c r="D66" s="21"/>
      <c r="E66" s="21"/>
      <c r="F66" s="21"/>
      <c r="G66" s="21"/>
      <c r="H66" s="21"/>
      <c r="I66" s="21"/>
      <c r="J66" s="21"/>
      <c r="K66" s="21"/>
      <c r="L66" s="21"/>
    </row>
    <row r="67" spans="3:12" x14ac:dyDescent="0.3">
      <c r="C67" s="6"/>
      <c r="D67" s="10"/>
      <c r="E67" s="10"/>
      <c r="F67" s="10"/>
      <c r="G67" s="10"/>
      <c r="H67" s="10"/>
      <c r="I67" s="10"/>
      <c r="J67" s="10"/>
      <c r="K67" s="10"/>
      <c r="L67" s="10"/>
    </row>
    <row r="70" spans="3:12" x14ac:dyDescent="0.3">
      <c r="D70" s="6"/>
      <c r="E70" s="10"/>
      <c r="H70" s="6"/>
      <c r="I70" s="10"/>
    </row>
    <row r="71" spans="3:12" x14ac:dyDescent="0.3">
      <c r="D71" s="6"/>
      <c r="E71" s="10"/>
      <c r="H71" s="6"/>
      <c r="I71" s="10"/>
    </row>
    <row r="72" spans="3:12" x14ac:dyDescent="0.3">
      <c r="D72" s="6"/>
      <c r="E72" s="10"/>
      <c r="H72" s="6"/>
      <c r="I72" s="10"/>
    </row>
    <row r="73" spans="3:12" x14ac:dyDescent="0.3">
      <c r="D73" s="6"/>
      <c r="E73" s="10"/>
      <c r="H73" s="6"/>
      <c r="I73" s="10"/>
    </row>
    <row r="76" spans="3:12" x14ac:dyDescent="0.3">
      <c r="D76" s="6"/>
      <c r="E76" s="10"/>
      <c r="H76" s="6"/>
      <c r="I76" s="10"/>
    </row>
    <row r="77" spans="3:12" x14ac:dyDescent="0.3">
      <c r="D77" s="6"/>
      <c r="E77" s="10"/>
      <c r="H77" s="6"/>
      <c r="I77" s="10"/>
    </row>
    <row r="78" spans="3:12" x14ac:dyDescent="0.3">
      <c r="D78" s="6"/>
      <c r="E78" s="10"/>
      <c r="H78" s="6"/>
      <c r="I78" s="10"/>
    </row>
    <row r="79" spans="3:12" x14ac:dyDescent="0.3">
      <c r="D79" s="6"/>
      <c r="E79" s="35"/>
      <c r="H79" s="6"/>
      <c r="I79" s="3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5829F-677F-46E3-864A-7A8FF5B29264}">
  <sheetPr codeName="Sheet18">
    <tabColor theme="5" tint="0.39997558519241921"/>
  </sheetPr>
  <dimension ref="A1:V49"/>
  <sheetViews>
    <sheetView zoomScale="115" zoomScaleNormal="115" workbookViewId="0"/>
  </sheetViews>
  <sheetFormatPr defaultRowHeight="14.4" x14ac:dyDescent="0.3"/>
  <cols>
    <col min="1" max="1" width="12.77734375" customWidth="1"/>
    <col min="2" max="2" width="22.21875" customWidth="1"/>
    <col min="3" max="6" width="12.77734375" customWidth="1"/>
    <col min="7" max="7" width="8.21875" customWidth="1"/>
    <col min="8" max="8" width="12.77734375" customWidth="1"/>
    <col min="9" max="10" width="14.5546875" customWidth="1"/>
    <col min="11" max="13" width="12.77734375" customWidth="1"/>
    <col min="14" max="14" width="8.44140625" customWidth="1"/>
    <col min="15" max="18" width="12.77734375" customWidth="1"/>
    <col min="21" max="21" width="10.5546875" customWidth="1"/>
  </cols>
  <sheetData>
    <row r="1" spans="1:6" x14ac:dyDescent="0.3">
      <c r="A1" s="7" t="s">
        <v>1</v>
      </c>
    </row>
    <row r="2" spans="1:6" x14ac:dyDescent="0.3">
      <c r="A2" t="s">
        <v>41</v>
      </c>
    </row>
    <row r="3" spans="1:6" x14ac:dyDescent="0.3">
      <c r="A3" s="12" t="s">
        <v>53</v>
      </c>
    </row>
    <row r="4" spans="1:6" x14ac:dyDescent="0.3">
      <c r="A4" s="7" t="s">
        <v>9</v>
      </c>
      <c r="F4" s="7" t="s">
        <v>45</v>
      </c>
    </row>
    <row r="5" spans="1:6" x14ac:dyDescent="0.3">
      <c r="A5" t="s">
        <v>10</v>
      </c>
    </row>
    <row r="6" spans="1:6" x14ac:dyDescent="0.3">
      <c r="A6" t="s">
        <v>11</v>
      </c>
      <c r="C6" s="13">
        <v>4.2500000000000003E-2</v>
      </c>
      <c r="F6" t="s">
        <v>47</v>
      </c>
    </row>
    <row r="7" spans="1:6" x14ac:dyDescent="0.3">
      <c r="A7" t="s">
        <v>12</v>
      </c>
      <c r="C7" s="13">
        <v>0.04</v>
      </c>
    </row>
    <row r="8" spans="1:6" x14ac:dyDescent="0.3">
      <c r="C8" s="13"/>
    </row>
    <row r="9" spans="1:6" x14ac:dyDescent="0.3">
      <c r="C9" s="31" t="s">
        <v>13</v>
      </c>
      <c r="D9" s="31" t="s">
        <v>14</v>
      </c>
    </row>
    <row r="10" spans="1:6" x14ac:dyDescent="0.3">
      <c r="A10" t="s">
        <v>15</v>
      </c>
      <c r="C10">
        <v>0.85</v>
      </c>
      <c r="D10">
        <v>0.85</v>
      </c>
    </row>
    <row r="11" spans="1:6" x14ac:dyDescent="0.3">
      <c r="A11" t="s">
        <v>16</v>
      </c>
      <c r="C11" s="1">
        <v>0.05</v>
      </c>
      <c r="D11" s="1">
        <v>0.05</v>
      </c>
    </row>
    <row r="12" spans="1:6" x14ac:dyDescent="0.3">
      <c r="A12" t="s">
        <v>17</v>
      </c>
      <c r="C12" s="1">
        <v>0.25</v>
      </c>
      <c r="D12" s="1">
        <v>0.25</v>
      </c>
    </row>
    <row r="13" spans="1:6" x14ac:dyDescent="0.3">
      <c r="A13" t="s">
        <v>48</v>
      </c>
      <c r="C13" s="1">
        <v>0.1</v>
      </c>
      <c r="D13" s="1">
        <v>0.1</v>
      </c>
    </row>
    <row r="14" spans="1:6" x14ac:dyDescent="0.3">
      <c r="A14" t="s">
        <v>18</v>
      </c>
      <c r="C14" s="22">
        <v>1000</v>
      </c>
      <c r="D14" s="22">
        <v>500</v>
      </c>
    </row>
    <row r="15" spans="1:6" x14ac:dyDescent="0.3">
      <c r="A15" t="s">
        <v>19</v>
      </c>
      <c r="C15" s="22">
        <v>50</v>
      </c>
      <c r="D15" s="22">
        <v>25</v>
      </c>
    </row>
    <row r="16" spans="1:6" x14ac:dyDescent="0.3">
      <c r="A16" t="s">
        <v>20</v>
      </c>
      <c r="C16" s="1">
        <v>0.15</v>
      </c>
      <c r="D16" s="1">
        <v>0.15</v>
      </c>
    </row>
    <row r="17" spans="1:20" x14ac:dyDescent="0.3">
      <c r="A17" t="s">
        <v>21</v>
      </c>
      <c r="C17" s="1">
        <v>0.7</v>
      </c>
      <c r="D17" s="1">
        <v>0.7</v>
      </c>
    </row>
    <row r="18" spans="1:20" x14ac:dyDescent="0.3">
      <c r="A18" t="s">
        <v>22</v>
      </c>
      <c r="C18" s="6" t="s">
        <v>23</v>
      </c>
      <c r="D18" s="6" t="s">
        <v>23</v>
      </c>
      <c r="F18" t="s">
        <v>46</v>
      </c>
    </row>
    <row r="20" spans="1:20" x14ac:dyDescent="0.3">
      <c r="A20" t="s">
        <v>24</v>
      </c>
      <c r="C20" s="13">
        <f>C6+C10*C7</f>
        <v>7.6500000000000012E-2</v>
      </c>
      <c r="D20" s="13">
        <f>+C6+D10*C7</f>
        <v>7.6500000000000012E-2</v>
      </c>
    </row>
    <row r="21" spans="1:20" x14ac:dyDescent="0.3">
      <c r="A21" t="s">
        <v>25</v>
      </c>
      <c r="C21" s="13">
        <f>C11*(1-C12)</f>
        <v>3.7500000000000006E-2</v>
      </c>
      <c r="D21" s="13">
        <f>D11*(1-D12)</f>
        <v>3.7500000000000006E-2</v>
      </c>
    </row>
    <row r="22" spans="1:20" x14ac:dyDescent="0.3">
      <c r="A22" t="s">
        <v>26</v>
      </c>
      <c r="C22" s="23">
        <f>C13*C21+(1-C13)*C20</f>
        <v>7.2600000000000012E-2</v>
      </c>
      <c r="D22" s="23">
        <f>D13*D21+(1-D13)*D20</f>
        <v>7.2600000000000012E-2</v>
      </c>
    </row>
    <row r="23" spans="1:20" x14ac:dyDescent="0.3">
      <c r="A23" t="s">
        <v>27</v>
      </c>
      <c r="C23" s="13">
        <f>C16*(1-C12)</f>
        <v>0.11249999999999999</v>
      </c>
      <c r="D23" s="13">
        <f>D16*(1-D12)</f>
        <v>0.11249999999999999</v>
      </c>
    </row>
    <row r="24" spans="1:20" x14ac:dyDescent="0.3">
      <c r="A24" t="s">
        <v>28</v>
      </c>
      <c r="C24" s="1">
        <f>+C17</f>
        <v>0.7</v>
      </c>
      <c r="D24" s="1">
        <f>+D17</f>
        <v>0.7</v>
      </c>
    </row>
    <row r="25" spans="1:20" x14ac:dyDescent="0.3">
      <c r="A25" t="s">
        <v>29</v>
      </c>
      <c r="C25" s="13">
        <f>+C23*C24</f>
        <v>7.8749999999999987E-2</v>
      </c>
      <c r="D25" s="13">
        <f>+D23*D24</f>
        <v>7.8749999999999987E-2</v>
      </c>
    </row>
    <row r="27" spans="1:20" x14ac:dyDescent="0.3">
      <c r="A27" s="12" t="s">
        <v>54</v>
      </c>
    </row>
    <row r="28" spans="1:20" x14ac:dyDescent="0.3">
      <c r="A28" t="s">
        <v>59</v>
      </c>
    </row>
    <row r="29" spans="1:20" x14ac:dyDescent="0.3">
      <c r="O29" t="s">
        <v>54</v>
      </c>
    </row>
    <row r="30" spans="1:20" x14ac:dyDescent="0.3">
      <c r="O30" t="s">
        <v>107</v>
      </c>
      <c r="Q30" s="22">
        <v>18</v>
      </c>
    </row>
    <row r="31" spans="1:20" x14ac:dyDescent="0.3">
      <c r="A31" s="12" t="s">
        <v>30</v>
      </c>
      <c r="H31" s="12" t="s">
        <v>31</v>
      </c>
      <c r="O31" s="12" t="s">
        <v>32</v>
      </c>
    </row>
    <row r="32" spans="1:20" x14ac:dyDescent="0.3">
      <c r="A32" t="s">
        <v>3</v>
      </c>
      <c r="B32" t="s">
        <v>33</v>
      </c>
      <c r="C32" t="s">
        <v>34</v>
      </c>
      <c r="D32" t="s">
        <v>35</v>
      </c>
      <c r="E32" t="s">
        <v>36</v>
      </c>
      <c r="F32" t="s">
        <v>37</v>
      </c>
      <c r="I32" t="s">
        <v>33</v>
      </c>
      <c r="J32" t="s">
        <v>34</v>
      </c>
      <c r="K32" t="s">
        <v>35</v>
      </c>
      <c r="L32" t="s">
        <v>36</v>
      </c>
      <c r="M32" t="s">
        <v>37</v>
      </c>
      <c r="P32" t="s">
        <v>33</v>
      </c>
      <c r="Q32" t="s">
        <v>34</v>
      </c>
      <c r="R32" t="s">
        <v>35</v>
      </c>
      <c r="S32" t="s">
        <v>36</v>
      </c>
      <c r="T32" t="s">
        <v>37</v>
      </c>
    </row>
    <row r="33" spans="1:22" x14ac:dyDescent="0.3">
      <c r="A33">
        <v>1</v>
      </c>
      <c r="B33" s="24">
        <f>+C15*(1+C25)</f>
        <v>53.937499999999993</v>
      </c>
      <c r="C33" s="1">
        <f>+C17</f>
        <v>0.7</v>
      </c>
      <c r="D33" s="2">
        <f>+C12</f>
        <v>0.25</v>
      </c>
      <c r="E33" s="26">
        <f>B33*(1-C33)*(1-D33)</f>
        <v>12.135937499999999</v>
      </c>
      <c r="F33" s="26">
        <f>E33/(1+$C$22)^A33</f>
        <v>11.314504475107215</v>
      </c>
      <c r="H33">
        <v>1</v>
      </c>
      <c r="I33" s="24">
        <f>+D15*(1+D25)</f>
        <v>26.968749999999996</v>
      </c>
      <c r="J33" s="1">
        <f>+D17</f>
        <v>0.7</v>
      </c>
      <c r="K33" s="2">
        <f>+D12</f>
        <v>0.25</v>
      </c>
      <c r="L33" s="26">
        <f>I33*(1-J33)*(1-K33)</f>
        <v>6.0679687499999995</v>
      </c>
      <c r="M33" s="26">
        <f>L33/(1+$D$22)^H33</f>
        <v>5.6572522375536076</v>
      </c>
      <c r="O33">
        <v>1</v>
      </c>
      <c r="P33" s="24"/>
      <c r="Q33" s="1"/>
      <c r="R33" s="2"/>
      <c r="S33" s="26"/>
      <c r="T33" s="26"/>
    </row>
    <row r="34" spans="1:22" x14ac:dyDescent="0.3">
      <c r="A34">
        <v>2</v>
      </c>
      <c r="B34" s="26">
        <f>B33*(1+$C$25)</f>
        <v>58.185078124999983</v>
      </c>
      <c r="C34" s="1">
        <f>+C33</f>
        <v>0.7</v>
      </c>
      <c r="D34" s="2">
        <f>+D33</f>
        <v>0.25</v>
      </c>
      <c r="E34" s="26">
        <f t="shared" ref="E34:E37" si="0">B34*(1-C34)*(1-D34)</f>
        <v>13.091642578124999</v>
      </c>
      <c r="F34" s="26">
        <f t="shared" ref="F34:F37" si="1">E34/(1+$C$22)^A34</f>
        <v>11.379378801530775</v>
      </c>
      <c r="H34">
        <v>2</v>
      </c>
      <c r="I34" s="26">
        <f>I33*(1+$D$25)</f>
        <v>29.092539062499991</v>
      </c>
      <c r="J34" s="1">
        <f>+J33</f>
        <v>0.7</v>
      </c>
      <c r="K34" s="2">
        <f>+K33</f>
        <v>0.25</v>
      </c>
      <c r="L34" s="26">
        <f t="shared" ref="L34:L37" si="2">I34*(1-J34)*(1-K34)</f>
        <v>6.5458212890624994</v>
      </c>
      <c r="M34" s="26">
        <f t="shared" ref="M34:M37" si="3">L34/(1+$D$22)^H34</f>
        <v>5.6896894007653875</v>
      </c>
      <c r="O34">
        <v>2</v>
      </c>
      <c r="P34" s="26"/>
      <c r="Q34" s="1"/>
      <c r="R34" s="2"/>
      <c r="S34" s="26"/>
      <c r="T34" s="26"/>
    </row>
    <row r="35" spans="1:22" x14ac:dyDescent="0.3">
      <c r="A35">
        <v>3</v>
      </c>
      <c r="B35" s="26">
        <f t="shared" ref="B35:B37" si="4">B34*(1+$C$25)</f>
        <v>62.767153027343724</v>
      </c>
      <c r="C35" s="1">
        <f t="shared" ref="C35:D38" si="5">+C34</f>
        <v>0.7</v>
      </c>
      <c r="D35" s="2">
        <f t="shared" si="5"/>
        <v>0.25</v>
      </c>
      <c r="E35" s="26">
        <f t="shared" si="0"/>
        <v>14.122609431152341</v>
      </c>
      <c r="F35" s="26">
        <f t="shared" si="1"/>
        <v>11.444625099898678</v>
      </c>
      <c r="H35">
        <v>3</v>
      </c>
      <c r="I35" s="26">
        <f t="shared" ref="I35:I37" si="6">I34*(1+$D$25)</f>
        <v>31.383576513671862</v>
      </c>
      <c r="J35" s="1">
        <f t="shared" ref="J35:K38" si="7">+J34</f>
        <v>0.7</v>
      </c>
      <c r="K35" s="2">
        <f t="shared" si="7"/>
        <v>0.25</v>
      </c>
      <c r="L35" s="26">
        <f t="shared" si="2"/>
        <v>7.0613047155761706</v>
      </c>
      <c r="M35" s="26">
        <f t="shared" si="3"/>
        <v>5.722312549949339</v>
      </c>
      <c r="O35">
        <v>3</v>
      </c>
      <c r="P35" s="26"/>
      <c r="Q35" s="1"/>
      <c r="R35" s="2"/>
      <c r="S35" s="26"/>
      <c r="T35" s="26"/>
    </row>
    <row r="36" spans="1:22" x14ac:dyDescent="0.3">
      <c r="A36">
        <v>4</v>
      </c>
      <c r="B36" s="26">
        <f t="shared" si="4"/>
        <v>67.710066328247038</v>
      </c>
      <c r="C36" s="1">
        <f t="shared" si="5"/>
        <v>0.7</v>
      </c>
      <c r="D36" s="2">
        <f t="shared" si="5"/>
        <v>0.25</v>
      </c>
      <c r="E36" s="26">
        <f t="shared" si="0"/>
        <v>15.234764923855586</v>
      </c>
      <c r="F36" s="26">
        <f t="shared" si="1"/>
        <v>11.510245502998041</v>
      </c>
      <c r="H36">
        <v>4</v>
      </c>
      <c r="I36" s="26">
        <f t="shared" si="6"/>
        <v>33.855033164123519</v>
      </c>
      <c r="J36" s="1">
        <f t="shared" si="7"/>
        <v>0.7</v>
      </c>
      <c r="K36" s="2">
        <f t="shared" si="7"/>
        <v>0.25</v>
      </c>
      <c r="L36" s="26">
        <f t="shared" si="2"/>
        <v>7.617382461927793</v>
      </c>
      <c r="M36" s="26">
        <f t="shared" si="3"/>
        <v>5.7551227514990204</v>
      </c>
      <c r="O36">
        <v>4</v>
      </c>
      <c r="P36" s="26"/>
      <c r="Q36" s="1"/>
      <c r="R36" s="2"/>
      <c r="S36" s="26"/>
      <c r="T36" s="26"/>
    </row>
    <row r="37" spans="1:22" x14ac:dyDescent="0.3">
      <c r="A37">
        <v>5</v>
      </c>
      <c r="B37" s="26">
        <f t="shared" si="4"/>
        <v>73.042234051596481</v>
      </c>
      <c r="C37" s="1">
        <f t="shared" si="5"/>
        <v>0.7</v>
      </c>
      <c r="D37" s="2">
        <f t="shared" si="5"/>
        <v>0.25</v>
      </c>
      <c r="E37" s="26">
        <f t="shared" si="0"/>
        <v>16.434502661609208</v>
      </c>
      <c r="F37" s="26">
        <f t="shared" si="1"/>
        <v>11.576242155844801</v>
      </c>
      <c r="H37">
        <v>5</v>
      </c>
      <c r="I37" s="26">
        <f t="shared" si="6"/>
        <v>36.52111702579824</v>
      </c>
      <c r="J37" s="1">
        <f t="shared" si="7"/>
        <v>0.7</v>
      </c>
      <c r="K37" s="2">
        <f t="shared" si="7"/>
        <v>0.25</v>
      </c>
      <c r="L37" s="26">
        <f t="shared" si="2"/>
        <v>8.2172513308046042</v>
      </c>
      <c r="M37" s="26">
        <f t="shared" si="3"/>
        <v>5.7881210779224004</v>
      </c>
      <c r="O37">
        <v>5</v>
      </c>
      <c r="P37" s="26"/>
      <c r="Q37" s="1"/>
      <c r="R37" s="2"/>
      <c r="S37" s="26"/>
      <c r="T37" s="26"/>
    </row>
    <row r="38" spans="1:22" x14ac:dyDescent="0.3">
      <c r="A38">
        <v>6</v>
      </c>
      <c r="B38" s="26">
        <f>B37*(1+C6)</f>
        <v>76.146528998789336</v>
      </c>
      <c r="C38" s="46">
        <f>$C$6/$C$22</f>
        <v>0.58539944903581265</v>
      </c>
      <c r="D38" s="2">
        <f t="shared" si="5"/>
        <v>0.25</v>
      </c>
      <c r="E38" s="26">
        <f>B38*(1-C38)*(1-D38)</f>
        <v>23.677794657681396</v>
      </c>
      <c r="H38">
        <v>6</v>
      </c>
      <c r="I38" s="27">
        <f>I37*(1+C6)</f>
        <v>38.073264499394668</v>
      </c>
      <c r="J38" s="46">
        <f>$C$6/$C$22</f>
        <v>0.58539944903581265</v>
      </c>
      <c r="K38" s="2">
        <f t="shared" si="7"/>
        <v>0.25</v>
      </c>
      <c r="L38" s="26">
        <f>I38*(1-J38)*(1-K38)</f>
        <v>11.838897328840698</v>
      </c>
      <c r="O38">
        <v>6</v>
      </c>
      <c r="P38" s="26"/>
      <c r="Q38" s="46"/>
      <c r="R38" s="2"/>
      <c r="S38" s="26"/>
    </row>
    <row r="39" spans="1:22" x14ac:dyDescent="0.3">
      <c r="A39" t="s">
        <v>38</v>
      </c>
      <c r="B39" s="28">
        <f>E38/(C22-C6)</f>
        <v>786.63769626848466</v>
      </c>
      <c r="H39" t="s">
        <v>38</v>
      </c>
      <c r="I39" s="27">
        <f>L38/(C22-C6)</f>
        <v>393.31884813424233</v>
      </c>
      <c r="O39" t="s">
        <v>38</v>
      </c>
      <c r="P39" s="27"/>
    </row>
    <row r="40" spans="1:22" x14ac:dyDescent="0.3">
      <c r="B40" s="28"/>
    </row>
    <row r="41" spans="1:22" x14ac:dyDescent="0.3">
      <c r="A41" t="s">
        <v>39</v>
      </c>
      <c r="B41" s="29">
        <f>SUM(F33:F37)</f>
        <v>57.224996035379512</v>
      </c>
      <c r="H41" t="s">
        <v>39</v>
      </c>
      <c r="I41" s="29">
        <f>SUM(M33:M37)</f>
        <v>28.612498017689756</v>
      </c>
      <c r="O41" t="s">
        <v>39</v>
      </c>
      <c r="P41" s="28"/>
      <c r="T41" s="6"/>
      <c r="U41" s="28"/>
    </row>
    <row r="42" spans="1:22" ht="15" thickBot="1" x14ac:dyDescent="0.35">
      <c r="A42" t="s">
        <v>40</v>
      </c>
      <c r="B42" s="30">
        <f>B39/(1+C22)^5</f>
        <v>554.09699024188251</v>
      </c>
      <c r="D42" s="25"/>
      <c r="E42" s="26"/>
      <c r="F42" s="26"/>
      <c r="H42" t="s">
        <v>40</v>
      </c>
      <c r="I42" s="28">
        <f>I39/(1+C22)^5</f>
        <v>277.04849512094125</v>
      </c>
      <c r="O42" t="s">
        <v>40</v>
      </c>
      <c r="P42" s="28"/>
      <c r="T42" s="6"/>
      <c r="U42" s="28"/>
      <c r="V42" s="12"/>
    </row>
    <row r="43" spans="1:22" ht="15" thickBot="1" x14ac:dyDescent="0.35">
      <c r="A43" t="s">
        <v>0</v>
      </c>
      <c r="B43" s="28">
        <f>SUM(B41:B42)</f>
        <v>611.321986277262</v>
      </c>
      <c r="H43" t="s">
        <v>0</v>
      </c>
      <c r="I43" s="28">
        <f>SUM(I41:I42)</f>
        <v>305.660993138631</v>
      </c>
      <c r="O43" t="s">
        <v>0</v>
      </c>
      <c r="P43" s="36"/>
      <c r="T43" s="6"/>
      <c r="U43" s="36"/>
      <c r="V43" s="12" t="s">
        <v>52</v>
      </c>
    </row>
    <row r="45" spans="1:22" x14ac:dyDescent="0.3">
      <c r="B45" s="14"/>
      <c r="C45" s="14"/>
      <c r="D45" s="14"/>
      <c r="E45" s="14"/>
      <c r="G45" s="14"/>
      <c r="H45" s="14"/>
      <c r="I45" s="14"/>
      <c r="J45" s="14"/>
      <c r="L45" s="14"/>
      <c r="M45" s="14"/>
      <c r="N45" s="14"/>
      <c r="O45" s="14"/>
    </row>
    <row r="46" spans="1:22" x14ac:dyDescent="0.3">
      <c r="C46" s="6"/>
      <c r="D46" s="10"/>
      <c r="E46" s="10"/>
      <c r="F46" s="10"/>
      <c r="G46" s="10"/>
      <c r="H46" s="10"/>
      <c r="I46" s="10"/>
      <c r="J46" s="10"/>
      <c r="K46" s="10"/>
      <c r="L46" s="10"/>
      <c r="M46" s="9"/>
    </row>
    <row r="49" spans="4:5" x14ac:dyDescent="0.3">
      <c r="D49" s="6"/>
      <c r="E49" s="3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C7E5E-28E4-4601-BD95-E2484B1E2A9B}">
  <sheetPr codeName="Sheet19">
    <tabColor theme="9" tint="0.59999389629810485"/>
  </sheetPr>
  <dimension ref="A1:AH66"/>
  <sheetViews>
    <sheetView zoomScale="115" zoomScaleNormal="115" workbookViewId="0"/>
  </sheetViews>
  <sheetFormatPr defaultRowHeight="14.4" x14ac:dyDescent="0.3"/>
  <cols>
    <col min="1" max="1" width="11.109375" customWidth="1"/>
    <col min="2" max="2" width="22.21875" customWidth="1"/>
    <col min="3" max="6" width="12.77734375" customWidth="1"/>
    <col min="7" max="7" width="8.21875" customWidth="1"/>
    <col min="8" max="8" width="12.77734375" customWidth="1"/>
    <col min="9" max="9" width="14.77734375" customWidth="1"/>
    <col min="10" max="10" width="15.33203125" customWidth="1"/>
    <col min="11" max="13" width="12.77734375" customWidth="1"/>
    <col min="14" max="14" width="7.33203125" customWidth="1"/>
    <col min="15" max="27" width="12.77734375" customWidth="1"/>
  </cols>
  <sheetData>
    <row r="1" spans="1:6" x14ac:dyDescent="0.3">
      <c r="A1" s="7" t="s">
        <v>1</v>
      </c>
    </row>
    <row r="2" spans="1:6" x14ac:dyDescent="0.3">
      <c r="A2" t="s">
        <v>41</v>
      </c>
    </row>
    <row r="3" spans="1:6" x14ac:dyDescent="0.3">
      <c r="A3" s="12" t="s">
        <v>53</v>
      </c>
    </row>
    <row r="4" spans="1:6" x14ac:dyDescent="0.3">
      <c r="A4" s="7" t="s">
        <v>9</v>
      </c>
      <c r="F4" s="7" t="s">
        <v>45</v>
      </c>
    </row>
    <row r="5" spans="1:6" x14ac:dyDescent="0.3">
      <c r="A5" t="s">
        <v>10</v>
      </c>
    </row>
    <row r="6" spans="1:6" x14ac:dyDescent="0.3">
      <c r="A6" t="s">
        <v>11</v>
      </c>
      <c r="C6" s="13">
        <v>4.2500000000000003E-2</v>
      </c>
      <c r="F6" t="s">
        <v>47</v>
      </c>
    </row>
    <row r="7" spans="1:6" x14ac:dyDescent="0.3">
      <c r="A7" t="s">
        <v>12</v>
      </c>
      <c r="C7" s="13">
        <v>0.04</v>
      </c>
    </row>
    <row r="8" spans="1:6" x14ac:dyDescent="0.3">
      <c r="C8" s="13"/>
    </row>
    <row r="9" spans="1:6" x14ac:dyDescent="0.3">
      <c r="C9" s="31" t="s">
        <v>13</v>
      </c>
      <c r="D9" s="31" t="s">
        <v>14</v>
      </c>
    </row>
    <row r="10" spans="1:6" x14ac:dyDescent="0.3">
      <c r="A10" t="s">
        <v>15</v>
      </c>
      <c r="C10">
        <v>0.85</v>
      </c>
      <c r="D10">
        <v>0.85</v>
      </c>
    </row>
    <row r="11" spans="1:6" x14ac:dyDescent="0.3">
      <c r="A11" t="s">
        <v>16</v>
      </c>
      <c r="C11" s="1">
        <v>0.05</v>
      </c>
      <c r="D11" s="1">
        <v>0.05</v>
      </c>
    </row>
    <row r="12" spans="1:6" x14ac:dyDescent="0.3">
      <c r="A12" t="s">
        <v>17</v>
      </c>
      <c r="C12" s="1">
        <v>0.25</v>
      </c>
      <c r="D12" s="1">
        <v>0.25</v>
      </c>
    </row>
    <row r="13" spans="1:6" x14ac:dyDescent="0.3">
      <c r="A13" t="s">
        <v>48</v>
      </c>
      <c r="C13" s="1">
        <v>0.1</v>
      </c>
      <c r="D13" s="1">
        <v>0.1</v>
      </c>
    </row>
    <row r="14" spans="1:6" x14ac:dyDescent="0.3">
      <c r="A14" t="s">
        <v>18</v>
      </c>
      <c r="C14" s="22">
        <v>1000</v>
      </c>
      <c r="D14" s="22">
        <v>500</v>
      </c>
    </row>
    <row r="15" spans="1:6" x14ac:dyDescent="0.3">
      <c r="A15" t="s">
        <v>19</v>
      </c>
      <c r="C15" s="22">
        <v>50</v>
      </c>
      <c r="D15" s="22">
        <v>25</v>
      </c>
    </row>
    <row r="16" spans="1:6" x14ac:dyDescent="0.3">
      <c r="A16" t="s">
        <v>20</v>
      </c>
      <c r="C16" s="1">
        <v>0.15</v>
      </c>
      <c r="D16" s="1">
        <v>0.15</v>
      </c>
    </row>
    <row r="17" spans="1:20" x14ac:dyDescent="0.3">
      <c r="A17" t="s">
        <v>21</v>
      </c>
      <c r="C17" s="1">
        <v>0.7</v>
      </c>
      <c r="D17" s="1">
        <v>0.7</v>
      </c>
    </row>
    <row r="18" spans="1:20" x14ac:dyDescent="0.3">
      <c r="A18" t="s">
        <v>22</v>
      </c>
      <c r="C18" s="6" t="s">
        <v>23</v>
      </c>
      <c r="D18" s="6" t="s">
        <v>23</v>
      </c>
      <c r="F18" t="s">
        <v>46</v>
      </c>
    </row>
    <row r="20" spans="1:20" x14ac:dyDescent="0.3">
      <c r="A20" t="s">
        <v>24</v>
      </c>
      <c r="C20" s="13">
        <f>C6+C10*C7</f>
        <v>7.6500000000000012E-2</v>
      </c>
      <c r="D20" s="13">
        <f>+C6+D10*C7</f>
        <v>7.6500000000000012E-2</v>
      </c>
    </row>
    <row r="21" spans="1:20" x14ac:dyDescent="0.3">
      <c r="A21" t="s">
        <v>25</v>
      </c>
      <c r="C21" s="13">
        <f>C11*(1-C12)</f>
        <v>3.7500000000000006E-2</v>
      </c>
      <c r="D21" s="13">
        <f>D11*(1-D12)</f>
        <v>3.7500000000000006E-2</v>
      </c>
    </row>
    <row r="22" spans="1:20" x14ac:dyDescent="0.3">
      <c r="A22" t="s">
        <v>26</v>
      </c>
      <c r="C22" s="23">
        <f>C13*C21+(1-C13)*C20</f>
        <v>7.2600000000000012E-2</v>
      </c>
      <c r="D22" s="23">
        <f>D13*D21+(1-D13)*D20</f>
        <v>7.2600000000000012E-2</v>
      </c>
    </row>
    <row r="23" spans="1:20" x14ac:dyDescent="0.3">
      <c r="A23" t="s">
        <v>27</v>
      </c>
      <c r="C23" s="13">
        <f>C16*(1-C12)</f>
        <v>0.11249999999999999</v>
      </c>
      <c r="D23" s="13">
        <f>D16*(1-D12)</f>
        <v>0.11249999999999999</v>
      </c>
    </row>
    <row r="24" spans="1:20" x14ac:dyDescent="0.3">
      <c r="A24" t="s">
        <v>28</v>
      </c>
      <c r="C24" s="1">
        <f>+C17</f>
        <v>0.7</v>
      </c>
      <c r="D24" s="1">
        <f>+D17</f>
        <v>0.7</v>
      </c>
    </row>
    <row r="25" spans="1:20" x14ac:dyDescent="0.3">
      <c r="A25" t="s">
        <v>29</v>
      </c>
      <c r="C25" s="13">
        <f>+C23*C24</f>
        <v>7.8749999999999987E-2</v>
      </c>
      <c r="D25" s="13">
        <f>+D23*D24</f>
        <v>7.8749999999999987E-2</v>
      </c>
    </row>
    <row r="27" spans="1:20" x14ac:dyDescent="0.3">
      <c r="A27" s="12" t="s">
        <v>54</v>
      </c>
    </row>
    <row r="28" spans="1:20" x14ac:dyDescent="0.3">
      <c r="A28" t="s">
        <v>59</v>
      </c>
    </row>
    <row r="29" spans="1:20" x14ac:dyDescent="0.3">
      <c r="O29" t="s">
        <v>54</v>
      </c>
    </row>
    <row r="30" spans="1:20" x14ac:dyDescent="0.3">
      <c r="O30" t="s">
        <v>107</v>
      </c>
      <c r="Q30" s="22">
        <v>18</v>
      </c>
    </row>
    <row r="31" spans="1:20" x14ac:dyDescent="0.3">
      <c r="A31" s="12" t="s">
        <v>30</v>
      </c>
      <c r="H31" s="12" t="s">
        <v>31</v>
      </c>
      <c r="O31" s="12" t="s">
        <v>32</v>
      </c>
    </row>
    <row r="32" spans="1:20" x14ac:dyDescent="0.3">
      <c r="A32" t="s">
        <v>3</v>
      </c>
      <c r="B32" t="s">
        <v>33</v>
      </c>
      <c r="C32" t="s">
        <v>34</v>
      </c>
      <c r="D32" t="s">
        <v>35</v>
      </c>
      <c r="E32" t="s">
        <v>36</v>
      </c>
      <c r="F32" t="s">
        <v>37</v>
      </c>
      <c r="I32" t="s">
        <v>33</v>
      </c>
      <c r="J32" t="s">
        <v>34</v>
      </c>
      <c r="K32" t="s">
        <v>35</v>
      </c>
      <c r="L32" t="s">
        <v>36</v>
      </c>
      <c r="M32" t="s">
        <v>37</v>
      </c>
      <c r="P32" t="s">
        <v>33</v>
      </c>
      <c r="Q32" t="s">
        <v>34</v>
      </c>
      <c r="R32" t="s">
        <v>35</v>
      </c>
      <c r="S32" t="s">
        <v>36</v>
      </c>
      <c r="T32" t="s">
        <v>37</v>
      </c>
    </row>
    <row r="33" spans="1:34" x14ac:dyDescent="0.3">
      <c r="A33">
        <v>1</v>
      </c>
      <c r="B33" s="24">
        <f>+C15*(1+C25)</f>
        <v>53.937499999999993</v>
      </c>
      <c r="C33" s="1">
        <f>+C17</f>
        <v>0.7</v>
      </c>
      <c r="D33" s="2">
        <f>+C12</f>
        <v>0.25</v>
      </c>
      <c r="E33" s="26">
        <f>B33*(1-C33)*(1-D33)</f>
        <v>12.135937499999999</v>
      </c>
      <c r="F33" s="26">
        <f>E33/(1+$C$22)^A33</f>
        <v>11.314504475107215</v>
      </c>
      <c r="H33">
        <v>1</v>
      </c>
      <c r="I33" s="24">
        <f>+D15*(1+D25)</f>
        <v>26.968749999999996</v>
      </c>
      <c r="J33" s="1">
        <f>+D17</f>
        <v>0.7</v>
      </c>
      <c r="K33" s="2">
        <f>+D12</f>
        <v>0.25</v>
      </c>
      <c r="L33" s="26">
        <f>I33*(1-J33)*(1-K33)</f>
        <v>6.0679687499999995</v>
      </c>
      <c r="M33" s="26">
        <f>L33/(1+$D$22)^H33</f>
        <v>5.6572522375536076</v>
      </c>
      <c r="O33">
        <v>1</v>
      </c>
      <c r="P33" s="24">
        <f>(C15+D15+Q30)*(1+C25)</f>
        <v>100.32374999999999</v>
      </c>
      <c r="Q33" s="1">
        <f>+C24</f>
        <v>0.7</v>
      </c>
      <c r="R33" s="2">
        <f>+C12</f>
        <v>0.25</v>
      </c>
      <c r="S33" s="26">
        <f>P33*(1-Q33)*(1-R33)</f>
        <v>22.572843750000001</v>
      </c>
      <c r="T33" s="26">
        <f>S33/(1+$D$22)^O33</f>
        <v>21.044978323699421</v>
      </c>
      <c r="U33" s="41" t="s">
        <v>55</v>
      </c>
      <c r="V33" s="41"/>
      <c r="W33" s="41"/>
      <c r="X33" s="41"/>
      <c r="Y33" s="41"/>
      <c r="Z33" s="41"/>
      <c r="AA33" s="41"/>
      <c r="AB33" s="41"/>
      <c r="AC33" s="41"/>
      <c r="AD33" s="41"/>
      <c r="AE33" s="41"/>
      <c r="AF33" s="41"/>
      <c r="AG33" s="41"/>
      <c r="AH33" s="41"/>
    </row>
    <row r="34" spans="1:34" x14ac:dyDescent="0.3">
      <c r="A34">
        <v>2</v>
      </c>
      <c r="B34" s="26">
        <f>B33*(1+$C$25)</f>
        <v>58.185078124999983</v>
      </c>
      <c r="C34" s="1">
        <f>+C33</f>
        <v>0.7</v>
      </c>
      <c r="D34" s="2">
        <f>+D33</f>
        <v>0.25</v>
      </c>
      <c r="E34" s="26">
        <f t="shared" ref="E34:E37" si="0">B34*(1-C34)*(1-D34)</f>
        <v>13.091642578124999</v>
      </c>
      <c r="F34" s="26">
        <f t="shared" ref="F34:F37" si="1">E34/(1+$C$22)^A34</f>
        <v>11.379378801530775</v>
      </c>
      <c r="H34">
        <v>2</v>
      </c>
      <c r="I34" s="26">
        <f>I33*(1+$D$25)</f>
        <v>29.092539062499991</v>
      </c>
      <c r="J34" s="1">
        <f>+J33</f>
        <v>0.7</v>
      </c>
      <c r="K34" s="2">
        <f>+K33</f>
        <v>0.25</v>
      </c>
      <c r="L34" s="26">
        <f t="shared" ref="L34:L37" si="2">I34*(1-J34)*(1-K34)</f>
        <v>6.5458212890624994</v>
      </c>
      <c r="M34" s="26">
        <f t="shared" ref="M34:M37" si="3">L34/(1+$D$22)^H34</f>
        <v>5.6896894007653875</v>
      </c>
      <c r="O34">
        <v>2</v>
      </c>
      <c r="P34" s="26">
        <f>P33*(1+$C$25)</f>
        <v>108.22424531249997</v>
      </c>
      <c r="Q34" s="1">
        <f>+Q33</f>
        <v>0.7</v>
      </c>
      <c r="R34" s="2">
        <f>+R33</f>
        <v>0.25</v>
      </c>
      <c r="S34" s="26">
        <f t="shared" ref="S34:S37" si="4">P34*(1-Q34)*(1-R34)</f>
        <v>24.350455195312495</v>
      </c>
      <c r="T34" s="26">
        <f t="shared" ref="T34:T37" si="5">S34/(1+$D$22)^O34</f>
        <v>21.165644570847238</v>
      </c>
    </row>
    <row r="35" spans="1:34" x14ac:dyDescent="0.3">
      <c r="A35">
        <v>3</v>
      </c>
      <c r="B35" s="26">
        <f t="shared" ref="B35:B37" si="6">B34*(1+$C$25)</f>
        <v>62.767153027343724</v>
      </c>
      <c r="C35" s="1">
        <f t="shared" ref="C35:D38" si="7">+C34</f>
        <v>0.7</v>
      </c>
      <c r="D35" s="2">
        <f t="shared" si="7"/>
        <v>0.25</v>
      </c>
      <c r="E35" s="26">
        <f t="shared" si="0"/>
        <v>14.122609431152341</v>
      </c>
      <c r="F35" s="26">
        <f t="shared" si="1"/>
        <v>11.444625099898678</v>
      </c>
      <c r="H35">
        <v>3</v>
      </c>
      <c r="I35" s="26">
        <f t="shared" ref="I35:I37" si="8">I34*(1+$D$25)</f>
        <v>31.383576513671862</v>
      </c>
      <c r="J35" s="1">
        <f t="shared" ref="J35:K38" si="9">+J34</f>
        <v>0.7</v>
      </c>
      <c r="K35" s="2">
        <f t="shared" si="9"/>
        <v>0.25</v>
      </c>
      <c r="L35" s="26">
        <f t="shared" si="2"/>
        <v>7.0613047155761706</v>
      </c>
      <c r="M35" s="26">
        <f t="shared" si="3"/>
        <v>5.722312549949339</v>
      </c>
      <c r="O35">
        <v>3</v>
      </c>
      <c r="P35" s="26">
        <f t="shared" ref="P35:P37" si="10">P34*(1+$C$25)</f>
        <v>116.74690463085933</v>
      </c>
      <c r="Q35" s="1">
        <f t="shared" ref="Q35:R38" si="11">+Q34</f>
        <v>0.7</v>
      </c>
      <c r="R35" s="2">
        <f t="shared" si="11"/>
        <v>0.25</v>
      </c>
      <c r="S35" s="26">
        <f t="shared" si="4"/>
        <v>26.268053541943353</v>
      </c>
      <c r="T35" s="26">
        <f t="shared" si="5"/>
        <v>21.28700268581154</v>
      </c>
    </row>
    <row r="36" spans="1:34" x14ac:dyDescent="0.3">
      <c r="A36">
        <v>4</v>
      </c>
      <c r="B36" s="26">
        <f t="shared" si="6"/>
        <v>67.710066328247038</v>
      </c>
      <c r="C36" s="1">
        <f t="shared" si="7"/>
        <v>0.7</v>
      </c>
      <c r="D36" s="2">
        <f t="shared" si="7"/>
        <v>0.25</v>
      </c>
      <c r="E36" s="26">
        <f t="shared" si="0"/>
        <v>15.234764923855586</v>
      </c>
      <c r="F36" s="26">
        <f t="shared" si="1"/>
        <v>11.510245502998041</v>
      </c>
      <c r="H36">
        <v>4</v>
      </c>
      <c r="I36" s="26">
        <f t="shared" si="8"/>
        <v>33.855033164123519</v>
      </c>
      <c r="J36" s="1">
        <f t="shared" si="9"/>
        <v>0.7</v>
      </c>
      <c r="K36" s="2">
        <f t="shared" si="9"/>
        <v>0.25</v>
      </c>
      <c r="L36" s="26">
        <f t="shared" si="2"/>
        <v>7.617382461927793</v>
      </c>
      <c r="M36" s="26">
        <f t="shared" si="3"/>
        <v>5.7551227514990204</v>
      </c>
      <c r="O36">
        <v>4</v>
      </c>
      <c r="P36" s="26">
        <f t="shared" si="10"/>
        <v>125.94072337053949</v>
      </c>
      <c r="Q36" s="1">
        <f t="shared" si="11"/>
        <v>0.7</v>
      </c>
      <c r="R36" s="2">
        <f t="shared" si="11"/>
        <v>0.25</v>
      </c>
      <c r="S36" s="26">
        <f t="shared" si="4"/>
        <v>28.336662758371389</v>
      </c>
      <c r="T36" s="26">
        <f t="shared" si="5"/>
        <v>21.409056635576356</v>
      </c>
    </row>
    <row r="37" spans="1:34" x14ac:dyDescent="0.3">
      <c r="A37">
        <v>5</v>
      </c>
      <c r="B37" s="26">
        <f t="shared" si="6"/>
        <v>73.042234051596481</v>
      </c>
      <c r="C37" s="1">
        <f t="shared" si="7"/>
        <v>0.7</v>
      </c>
      <c r="D37" s="2">
        <f t="shared" si="7"/>
        <v>0.25</v>
      </c>
      <c r="E37" s="26">
        <f t="shared" si="0"/>
        <v>16.434502661609208</v>
      </c>
      <c r="F37" s="26">
        <f t="shared" si="1"/>
        <v>11.576242155844801</v>
      </c>
      <c r="H37">
        <v>5</v>
      </c>
      <c r="I37" s="26">
        <f t="shared" si="8"/>
        <v>36.52111702579824</v>
      </c>
      <c r="J37" s="1">
        <f t="shared" si="9"/>
        <v>0.7</v>
      </c>
      <c r="K37" s="2">
        <f t="shared" si="9"/>
        <v>0.25</v>
      </c>
      <c r="L37" s="26">
        <f t="shared" si="2"/>
        <v>8.2172513308046042</v>
      </c>
      <c r="M37" s="26">
        <f t="shared" si="3"/>
        <v>5.7881210779224004</v>
      </c>
      <c r="O37">
        <v>5</v>
      </c>
      <c r="P37" s="26">
        <f t="shared" si="10"/>
        <v>135.85855533596947</v>
      </c>
      <c r="Q37" s="1">
        <f t="shared" si="11"/>
        <v>0.7</v>
      </c>
      <c r="R37" s="2">
        <f t="shared" si="11"/>
        <v>0.25</v>
      </c>
      <c r="S37" s="26">
        <f t="shared" si="4"/>
        <v>30.568174950593132</v>
      </c>
      <c r="T37" s="26">
        <f t="shared" si="5"/>
        <v>21.531810409871333</v>
      </c>
    </row>
    <row r="38" spans="1:34" x14ac:dyDescent="0.3">
      <c r="A38">
        <v>6</v>
      </c>
      <c r="B38" s="26">
        <f>B37*(1+C6)</f>
        <v>76.146528998789336</v>
      </c>
      <c r="C38" s="46">
        <f>$C$6/$C$22</f>
        <v>0.58539944903581265</v>
      </c>
      <c r="D38" s="2">
        <f t="shared" si="7"/>
        <v>0.25</v>
      </c>
      <c r="E38" s="26">
        <f>B38*(1-C38)*(1-D38)</f>
        <v>23.677794657681396</v>
      </c>
      <c r="H38">
        <v>6</v>
      </c>
      <c r="I38" s="27">
        <f>I37*(1+C6)</f>
        <v>38.073264499394668</v>
      </c>
      <c r="J38" s="46">
        <f>$C$6/$C$22</f>
        <v>0.58539944903581265</v>
      </c>
      <c r="K38" s="2">
        <f t="shared" si="9"/>
        <v>0.25</v>
      </c>
      <c r="L38" s="26">
        <f>I38*(1-J38)*(1-K38)</f>
        <v>11.838897328840698</v>
      </c>
      <c r="O38">
        <v>6</v>
      </c>
      <c r="P38" s="26">
        <f>P37*(1+C6)</f>
        <v>141.63254393774818</v>
      </c>
      <c r="Q38" s="46">
        <f>+C6/D22</f>
        <v>0.58539944903581265</v>
      </c>
      <c r="R38" s="2">
        <f t="shared" si="11"/>
        <v>0.25</v>
      </c>
      <c r="S38" s="26">
        <f>P38*(1-Q38)*(1-R38)</f>
        <v>44.040698063287401</v>
      </c>
    </row>
    <row r="39" spans="1:34" x14ac:dyDescent="0.3">
      <c r="A39" t="s">
        <v>38</v>
      </c>
      <c r="B39" s="28">
        <f>E38/(C22-C6)</f>
        <v>786.63769626848466</v>
      </c>
      <c r="H39" t="s">
        <v>38</v>
      </c>
      <c r="I39" s="27">
        <f>L38/(C22-C6)</f>
        <v>393.31884813424233</v>
      </c>
      <c r="O39" t="s">
        <v>38</v>
      </c>
      <c r="P39" s="27">
        <f>S38/(+C22-C6)</f>
        <v>1463.1461150593816</v>
      </c>
    </row>
    <row r="40" spans="1:34" x14ac:dyDescent="0.3">
      <c r="B40" s="28"/>
    </row>
    <row r="41" spans="1:34" x14ac:dyDescent="0.3">
      <c r="A41" t="s">
        <v>39</v>
      </c>
      <c r="B41" s="29">
        <f>SUM(F33:F37)</f>
        <v>57.224996035379512</v>
      </c>
      <c r="H41" t="s">
        <v>39</v>
      </c>
      <c r="I41" s="29">
        <f>SUM(M33:M37)</f>
        <v>28.612498017689756</v>
      </c>
      <c r="O41" t="s">
        <v>39</v>
      </c>
      <c r="P41" s="28">
        <f>SUM(T33:T37)</f>
        <v>106.43849262580588</v>
      </c>
      <c r="T41" s="6" t="s">
        <v>51</v>
      </c>
      <c r="U41" s="28">
        <f>P43</f>
        <v>1137.0588944757073</v>
      </c>
    </row>
    <row r="42" spans="1:34" ht="15" thickBot="1" x14ac:dyDescent="0.35">
      <c r="A42" t="s">
        <v>40</v>
      </c>
      <c r="B42" s="30">
        <f>B39/(1+C22)^5</f>
        <v>554.09699024188251</v>
      </c>
      <c r="D42" s="25"/>
      <c r="E42" s="26"/>
      <c r="F42" s="26"/>
      <c r="H42" t="s">
        <v>40</v>
      </c>
      <c r="I42" s="28">
        <f>I39/(1+C22)^5</f>
        <v>277.04849512094125</v>
      </c>
      <c r="O42" t="s">
        <v>40</v>
      </c>
      <c r="P42" s="28">
        <f>P39/(1+C22)^5</f>
        <v>1030.6204018499016</v>
      </c>
      <c r="T42" s="6" t="s">
        <v>32</v>
      </c>
      <c r="U42" s="28">
        <f>++B43+I43</f>
        <v>916.98297941589294</v>
      </c>
      <c r="V42" s="12"/>
    </row>
    <row r="43" spans="1:34" ht="15" thickBot="1" x14ac:dyDescent="0.35">
      <c r="A43" t="s">
        <v>0</v>
      </c>
      <c r="B43" s="28">
        <f>SUM(B41:B42)</f>
        <v>611.321986277262</v>
      </c>
      <c r="H43" t="s">
        <v>0</v>
      </c>
      <c r="I43" s="28">
        <f>SUM(I41:I42)</f>
        <v>305.660993138631</v>
      </c>
      <c r="O43" t="s">
        <v>0</v>
      </c>
      <c r="P43" s="36">
        <f>P41+P42</f>
        <v>1137.0588944757073</v>
      </c>
      <c r="T43" s="6" t="s">
        <v>52</v>
      </c>
      <c r="U43" s="36">
        <f>U41-U42</f>
        <v>220.07591505981441</v>
      </c>
    </row>
    <row r="45" spans="1:34" x14ac:dyDescent="0.3">
      <c r="B45" s="14"/>
      <c r="C45" s="14"/>
      <c r="D45" s="14"/>
      <c r="E45" s="14"/>
      <c r="G45" s="14"/>
      <c r="H45" s="14"/>
      <c r="I45" s="14"/>
      <c r="J45" s="14"/>
      <c r="L45" s="14"/>
      <c r="M45" s="14"/>
      <c r="N45" s="14"/>
      <c r="O45" s="14"/>
    </row>
    <row r="46" spans="1:34" x14ac:dyDescent="0.3">
      <c r="C46" s="6"/>
      <c r="D46" s="10"/>
      <c r="E46" s="10"/>
      <c r="F46" s="10"/>
      <c r="G46" s="10"/>
      <c r="H46" s="10"/>
      <c r="I46" s="10"/>
      <c r="J46" s="10"/>
      <c r="K46" s="10"/>
      <c r="L46" s="10"/>
      <c r="M46" s="9"/>
    </row>
    <row r="47" spans="1:34" x14ac:dyDescent="0.3">
      <c r="D47" s="6"/>
      <c r="E47" s="34"/>
    </row>
    <row r="48" spans="1:34" x14ac:dyDescent="0.3">
      <c r="D48" s="6"/>
      <c r="E48" s="34"/>
      <c r="G48" s="42"/>
    </row>
    <row r="49" spans="2:8" x14ac:dyDescent="0.3">
      <c r="D49" s="6"/>
      <c r="E49" s="44"/>
      <c r="G49" s="42"/>
    </row>
    <row r="53" spans="2:8" x14ac:dyDescent="0.3">
      <c r="D53" s="6"/>
      <c r="E53" s="43"/>
    </row>
    <row r="54" spans="2:8" x14ac:dyDescent="0.3">
      <c r="D54" s="6"/>
    </row>
    <row r="55" spans="2:8" x14ac:dyDescent="0.3">
      <c r="D55" s="6"/>
      <c r="E55" s="43"/>
    </row>
    <row r="56" spans="2:8" x14ac:dyDescent="0.3">
      <c r="D56" s="6"/>
      <c r="E56" s="45"/>
    </row>
    <row r="57" spans="2:8" x14ac:dyDescent="0.3">
      <c r="D57" s="6"/>
      <c r="E57" s="42"/>
    </row>
    <row r="58" spans="2:8" x14ac:dyDescent="0.3">
      <c r="D58" s="6"/>
      <c r="E58" s="43"/>
    </row>
    <row r="59" spans="2:8" x14ac:dyDescent="0.3">
      <c r="D59" s="6"/>
    </row>
    <row r="60" spans="2:8" x14ac:dyDescent="0.3">
      <c r="D60" s="6"/>
      <c r="E60" s="1"/>
    </row>
    <row r="61" spans="2:8" x14ac:dyDescent="0.3">
      <c r="D61" s="6"/>
    </row>
    <row r="62" spans="2:8" x14ac:dyDescent="0.3">
      <c r="D62" s="6"/>
      <c r="E62" s="43"/>
    </row>
    <row r="63" spans="2:8" x14ac:dyDescent="0.3">
      <c r="B63" s="6"/>
      <c r="H63" s="42"/>
    </row>
    <row r="64" spans="2:8" x14ac:dyDescent="0.3">
      <c r="H64" s="42"/>
    </row>
    <row r="65" spans="8:8" x14ac:dyDescent="0.3">
      <c r="H65" s="42"/>
    </row>
    <row r="66" spans="8:8" x14ac:dyDescent="0.3">
      <c r="H66" s="4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26CB1-DB35-44D9-B5C2-83710FA4447C}">
  <sheetPr codeName="Sheet104">
    <tabColor theme="5" tint="0.39997558519241921"/>
  </sheetPr>
  <dimension ref="A1:V47"/>
  <sheetViews>
    <sheetView zoomScale="115" zoomScaleNormal="115" workbookViewId="0"/>
  </sheetViews>
  <sheetFormatPr defaultRowHeight="14.4" x14ac:dyDescent="0.3"/>
  <cols>
    <col min="2" max="2" width="17.5546875" customWidth="1"/>
    <col min="3" max="5" width="12.77734375" customWidth="1"/>
    <col min="6" max="6" width="17.5546875" customWidth="1"/>
    <col min="7" max="7" width="8.88671875" customWidth="1"/>
    <col min="8" max="9" width="12.77734375" customWidth="1"/>
    <col min="10" max="10" width="14.21875" bestFit="1" customWidth="1"/>
    <col min="11" max="13" width="12.77734375" customWidth="1"/>
    <col min="14" max="14" width="7.33203125" customWidth="1"/>
    <col min="15" max="18" width="12.77734375" customWidth="1"/>
    <col min="19" max="19" width="14.5546875" customWidth="1"/>
    <col min="20" max="20" width="12.77734375" customWidth="1"/>
    <col min="21" max="21" width="21.21875" customWidth="1"/>
  </cols>
  <sheetData>
    <row r="1" spans="1:6" x14ac:dyDescent="0.3">
      <c r="A1" s="7" t="s">
        <v>1</v>
      </c>
    </row>
    <row r="2" spans="1:6" x14ac:dyDescent="0.3">
      <c r="A2" t="s">
        <v>41</v>
      </c>
    </row>
    <row r="3" spans="1:6" x14ac:dyDescent="0.3">
      <c r="A3" s="12" t="s">
        <v>53</v>
      </c>
    </row>
    <row r="4" spans="1:6" x14ac:dyDescent="0.3">
      <c r="A4" s="7" t="s">
        <v>9</v>
      </c>
      <c r="F4" s="7" t="s">
        <v>45</v>
      </c>
    </row>
    <row r="5" spans="1:6" x14ac:dyDescent="0.3">
      <c r="A5" t="s">
        <v>10</v>
      </c>
    </row>
    <row r="6" spans="1:6" x14ac:dyDescent="0.3">
      <c r="A6" t="s">
        <v>11</v>
      </c>
      <c r="C6" s="13">
        <v>4.2500000000000003E-2</v>
      </c>
      <c r="F6" t="s">
        <v>47</v>
      </c>
    </row>
    <row r="7" spans="1:6" x14ac:dyDescent="0.3">
      <c r="A7" t="s">
        <v>12</v>
      </c>
      <c r="C7" s="13">
        <v>0.04</v>
      </c>
    </row>
    <row r="8" spans="1:6" x14ac:dyDescent="0.3">
      <c r="C8" s="13"/>
    </row>
    <row r="9" spans="1:6" x14ac:dyDescent="0.3">
      <c r="C9" s="31" t="s">
        <v>13</v>
      </c>
      <c r="D9" s="31" t="s">
        <v>14</v>
      </c>
    </row>
    <row r="10" spans="1:6" x14ac:dyDescent="0.3">
      <c r="A10" t="s">
        <v>15</v>
      </c>
      <c r="C10">
        <v>0.85</v>
      </c>
      <c r="D10">
        <v>0.85</v>
      </c>
    </row>
    <row r="11" spans="1:6" x14ac:dyDescent="0.3">
      <c r="A11" t="s">
        <v>16</v>
      </c>
      <c r="C11" s="1">
        <v>0.05</v>
      </c>
      <c r="D11" s="1">
        <v>0.05</v>
      </c>
    </row>
    <row r="12" spans="1:6" x14ac:dyDescent="0.3">
      <c r="A12" t="s">
        <v>17</v>
      </c>
      <c r="C12" s="1">
        <v>0.25</v>
      </c>
      <c r="D12" s="1">
        <v>0.25</v>
      </c>
    </row>
    <row r="13" spans="1:6" x14ac:dyDescent="0.3">
      <c r="A13" t="s">
        <v>48</v>
      </c>
      <c r="C13" s="1">
        <v>0.1</v>
      </c>
      <c r="D13" s="1">
        <v>0.1</v>
      </c>
    </row>
    <row r="14" spans="1:6" x14ac:dyDescent="0.3">
      <c r="A14" t="s">
        <v>18</v>
      </c>
      <c r="C14" s="22">
        <v>1000</v>
      </c>
      <c r="D14" s="22">
        <v>500</v>
      </c>
    </row>
    <row r="15" spans="1:6" x14ac:dyDescent="0.3">
      <c r="A15" t="s">
        <v>19</v>
      </c>
      <c r="C15" s="22">
        <v>50</v>
      </c>
      <c r="D15" s="22">
        <v>25</v>
      </c>
    </row>
    <row r="16" spans="1:6" x14ac:dyDescent="0.3">
      <c r="A16" t="s">
        <v>20</v>
      </c>
      <c r="C16" s="1">
        <v>0.15</v>
      </c>
      <c r="D16" s="1">
        <v>0.15</v>
      </c>
    </row>
    <row r="17" spans="1:20" x14ac:dyDescent="0.3">
      <c r="A17" t="s">
        <v>21</v>
      </c>
      <c r="C17" s="1">
        <v>0.7</v>
      </c>
      <c r="D17" s="1">
        <v>0.7</v>
      </c>
    </row>
    <row r="18" spans="1:20" x14ac:dyDescent="0.3">
      <c r="A18" t="s">
        <v>22</v>
      </c>
      <c r="C18" s="6" t="s">
        <v>23</v>
      </c>
      <c r="D18" s="6" t="s">
        <v>23</v>
      </c>
      <c r="F18" t="s">
        <v>46</v>
      </c>
    </row>
    <row r="20" spans="1:20" x14ac:dyDescent="0.3">
      <c r="A20" t="s">
        <v>24</v>
      </c>
      <c r="C20" s="13">
        <f>C6+C10*C7</f>
        <v>7.6500000000000012E-2</v>
      </c>
      <c r="D20" s="13">
        <f>+C6+D10*C7</f>
        <v>7.6500000000000012E-2</v>
      </c>
    </row>
    <row r="21" spans="1:20" x14ac:dyDescent="0.3">
      <c r="A21" t="s">
        <v>25</v>
      </c>
      <c r="C21" s="13">
        <f>C11*(1-C12)</f>
        <v>3.7500000000000006E-2</v>
      </c>
      <c r="D21" s="13">
        <f>D11*(1-D12)</f>
        <v>3.7500000000000006E-2</v>
      </c>
    </row>
    <row r="22" spans="1:20" x14ac:dyDescent="0.3">
      <c r="A22" t="s">
        <v>26</v>
      </c>
      <c r="C22" s="23">
        <f>C13*C21+(1-C13)*C20</f>
        <v>7.2600000000000012E-2</v>
      </c>
      <c r="D22" s="23">
        <f>D13*D21+(1-D13)*D20</f>
        <v>7.2600000000000012E-2</v>
      </c>
    </row>
    <row r="23" spans="1:20" x14ac:dyDescent="0.3">
      <c r="A23" t="s">
        <v>27</v>
      </c>
      <c r="C23" s="13">
        <f>C16*(1-C12)</f>
        <v>0.11249999999999999</v>
      </c>
      <c r="D23" s="13">
        <f>D16*(1-D12)</f>
        <v>0.11249999999999999</v>
      </c>
    </row>
    <row r="24" spans="1:20" x14ac:dyDescent="0.3">
      <c r="A24" t="s">
        <v>28</v>
      </c>
      <c r="C24" s="1">
        <f>+C17</f>
        <v>0.7</v>
      </c>
      <c r="D24" s="1">
        <f>+D17</f>
        <v>0.7</v>
      </c>
    </row>
    <row r="25" spans="1:20" x14ac:dyDescent="0.3">
      <c r="A25" t="s">
        <v>29</v>
      </c>
      <c r="C25" s="13">
        <f>+C23*C24</f>
        <v>7.8749999999999987E-2</v>
      </c>
      <c r="D25" s="13">
        <f>+D23*D24</f>
        <v>7.8749999999999987E-2</v>
      </c>
    </row>
    <row r="27" spans="1:20" x14ac:dyDescent="0.3">
      <c r="A27" s="12" t="s">
        <v>58</v>
      </c>
    </row>
    <row r="28" spans="1:20" x14ac:dyDescent="0.3">
      <c r="A28" t="s">
        <v>183</v>
      </c>
    </row>
    <row r="30" spans="1:20" x14ac:dyDescent="0.3">
      <c r="O30" t="s">
        <v>56</v>
      </c>
      <c r="R30" s="37">
        <v>0.126</v>
      </c>
    </row>
    <row r="31" spans="1:20" x14ac:dyDescent="0.3">
      <c r="A31" s="12" t="s">
        <v>30</v>
      </c>
      <c r="H31" s="12" t="s">
        <v>31</v>
      </c>
      <c r="O31" s="12" t="s">
        <v>32</v>
      </c>
    </row>
    <row r="32" spans="1:20" x14ac:dyDescent="0.3">
      <c r="A32" t="s">
        <v>3</v>
      </c>
      <c r="B32" t="s">
        <v>33</v>
      </c>
      <c r="C32" t="s">
        <v>34</v>
      </c>
      <c r="D32" t="s">
        <v>35</v>
      </c>
      <c r="E32" t="s">
        <v>36</v>
      </c>
      <c r="F32" t="s">
        <v>37</v>
      </c>
      <c r="I32" t="s">
        <v>33</v>
      </c>
      <c r="J32" t="s">
        <v>34</v>
      </c>
      <c r="K32" t="s">
        <v>35</v>
      </c>
      <c r="L32" t="s">
        <v>36</v>
      </c>
      <c r="M32" t="s">
        <v>37</v>
      </c>
      <c r="P32" t="s">
        <v>33</v>
      </c>
      <c r="Q32" t="s">
        <v>34</v>
      </c>
      <c r="R32" t="s">
        <v>35</v>
      </c>
      <c r="S32" t="s">
        <v>36</v>
      </c>
      <c r="T32" t="s">
        <v>37</v>
      </c>
    </row>
    <row r="33" spans="1:22" x14ac:dyDescent="0.3">
      <c r="A33">
        <v>1</v>
      </c>
      <c r="B33" s="24">
        <f>+C15*(1+C25)</f>
        <v>53.937499999999993</v>
      </c>
      <c r="C33" s="1">
        <f>+C17</f>
        <v>0.7</v>
      </c>
      <c r="D33" s="2">
        <f>+C12</f>
        <v>0.25</v>
      </c>
      <c r="E33" s="26">
        <f>B33*(1-C33)*(1-D33)</f>
        <v>12.135937499999999</v>
      </c>
      <c r="F33" s="26">
        <f>E33/(1+$C$22)^A33</f>
        <v>11.314504475107215</v>
      </c>
      <c r="H33">
        <v>1</v>
      </c>
      <c r="I33" s="24">
        <f>+D15*(1+D25)</f>
        <v>26.968749999999996</v>
      </c>
      <c r="J33" s="1">
        <f>+D17</f>
        <v>0.7</v>
      </c>
      <c r="K33" s="2">
        <f>+D12</f>
        <v>0.25</v>
      </c>
      <c r="L33" s="26">
        <f>I33*(1-J33)*(1-K33)</f>
        <v>6.0679687499999995</v>
      </c>
      <c r="M33" s="26">
        <f>L33/(1+$D$22)^H33</f>
        <v>5.6572522375536076</v>
      </c>
      <c r="O33">
        <v>1</v>
      </c>
      <c r="P33" s="24"/>
      <c r="Q33" s="1"/>
      <c r="R33" s="2"/>
      <c r="S33" s="26"/>
      <c r="T33" s="26"/>
      <c r="V33" s="46"/>
    </row>
    <row r="34" spans="1:22" x14ac:dyDescent="0.3">
      <c r="A34">
        <v>2</v>
      </c>
      <c r="B34" s="26">
        <f>B33*(1+$C$25)</f>
        <v>58.185078124999983</v>
      </c>
      <c r="C34" s="1">
        <f>+C33</f>
        <v>0.7</v>
      </c>
      <c r="D34" s="2">
        <f>+D33</f>
        <v>0.25</v>
      </c>
      <c r="E34" s="26">
        <f t="shared" ref="E34:E37" si="0">B34*(1-C34)*(1-D34)</f>
        <v>13.091642578124999</v>
      </c>
      <c r="F34" s="26">
        <f t="shared" ref="F34:F37" si="1">E34/(1+$C$22)^A34</f>
        <v>11.379378801530775</v>
      </c>
      <c r="H34">
        <v>2</v>
      </c>
      <c r="I34" s="26">
        <f>I33*(1+$D$25)</f>
        <v>29.092539062499991</v>
      </c>
      <c r="J34" s="1">
        <f>+J33</f>
        <v>0.7</v>
      </c>
      <c r="K34" s="2">
        <f>+K33</f>
        <v>0.25</v>
      </c>
      <c r="L34" s="26">
        <f t="shared" ref="L34:L37" si="2">I34*(1-J34)*(1-K34)</f>
        <v>6.5458212890624994</v>
      </c>
      <c r="M34" s="26">
        <f t="shared" ref="M34:M37" si="3">L34/(1+$D$22)^H34</f>
        <v>5.6896894007653875</v>
      </c>
      <c r="O34">
        <v>2</v>
      </c>
      <c r="P34" s="24"/>
      <c r="Q34" s="1"/>
      <c r="R34" s="2"/>
      <c r="S34" s="26"/>
      <c r="T34" s="26"/>
    </row>
    <row r="35" spans="1:22" x14ac:dyDescent="0.3">
      <c r="A35">
        <v>3</v>
      </c>
      <c r="B35" s="26">
        <f t="shared" ref="B35:B37" si="4">B34*(1+$C$25)</f>
        <v>62.767153027343724</v>
      </c>
      <c r="C35" s="1">
        <f t="shared" ref="C35:D38" si="5">+C34</f>
        <v>0.7</v>
      </c>
      <c r="D35" s="2">
        <f t="shared" si="5"/>
        <v>0.25</v>
      </c>
      <c r="E35" s="26">
        <f t="shared" si="0"/>
        <v>14.122609431152341</v>
      </c>
      <c r="F35" s="26">
        <f t="shared" si="1"/>
        <v>11.444625099898678</v>
      </c>
      <c r="H35">
        <v>3</v>
      </c>
      <c r="I35" s="26">
        <f t="shared" ref="I35:I37" si="6">I34*(1+$D$25)</f>
        <v>31.383576513671862</v>
      </c>
      <c r="J35" s="1">
        <f t="shared" ref="J35:K38" si="7">+J34</f>
        <v>0.7</v>
      </c>
      <c r="K35" s="2">
        <f t="shared" si="7"/>
        <v>0.25</v>
      </c>
      <c r="L35" s="26">
        <f t="shared" si="2"/>
        <v>7.0613047155761706</v>
      </c>
      <c r="M35" s="26">
        <f t="shared" si="3"/>
        <v>5.722312549949339</v>
      </c>
      <c r="O35">
        <v>3</v>
      </c>
      <c r="P35" s="24"/>
      <c r="Q35" s="1"/>
      <c r="R35" s="2"/>
      <c r="S35" s="26"/>
      <c r="T35" s="26"/>
    </row>
    <row r="36" spans="1:22" x14ac:dyDescent="0.3">
      <c r="A36">
        <v>4</v>
      </c>
      <c r="B36" s="26">
        <f t="shared" si="4"/>
        <v>67.710066328247038</v>
      </c>
      <c r="C36" s="1">
        <f t="shared" si="5"/>
        <v>0.7</v>
      </c>
      <c r="D36" s="2">
        <f t="shared" si="5"/>
        <v>0.25</v>
      </c>
      <c r="E36" s="26">
        <f t="shared" si="0"/>
        <v>15.234764923855586</v>
      </c>
      <c r="F36" s="26">
        <f t="shared" si="1"/>
        <v>11.510245502998041</v>
      </c>
      <c r="H36">
        <v>4</v>
      </c>
      <c r="I36" s="26">
        <f t="shared" si="6"/>
        <v>33.855033164123519</v>
      </c>
      <c r="J36" s="1">
        <f t="shared" si="7"/>
        <v>0.7</v>
      </c>
      <c r="K36" s="2">
        <f t="shared" si="7"/>
        <v>0.25</v>
      </c>
      <c r="L36" s="26">
        <f t="shared" si="2"/>
        <v>7.617382461927793</v>
      </c>
      <c r="M36" s="26">
        <f t="shared" si="3"/>
        <v>5.7551227514990204</v>
      </c>
      <c r="O36">
        <v>4</v>
      </c>
      <c r="P36" s="24"/>
      <c r="Q36" s="1"/>
      <c r="R36" s="2"/>
      <c r="S36" s="26"/>
      <c r="T36" s="26"/>
    </row>
    <row r="37" spans="1:22" x14ac:dyDescent="0.3">
      <c r="A37">
        <v>5</v>
      </c>
      <c r="B37" s="26">
        <f t="shared" si="4"/>
        <v>73.042234051596481</v>
      </c>
      <c r="C37" s="1">
        <f t="shared" si="5"/>
        <v>0.7</v>
      </c>
      <c r="D37" s="2">
        <f t="shared" si="5"/>
        <v>0.25</v>
      </c>
      <c r="E37" s="26">
        <f t="shared" si="0"/>
        <v>16.434502661609208</v>
      </c>
      <c r="F37" s="26">
        <f t="shared" si="1"/>
        <v>11.576242155844801</v>
      </c>
      <c r="H37">
        <v>5</v>
      </c>
      <c r="I37" s="26">
        <f t="shared" si="6"/>
        <v>36.52111702579824</v>
      </c>
      <c r="J37" s="1">
        <f t="shared" si="7"/>
        <v>0.7</v>
      </c>
      <c r="K37" s="2">
        <f t="shared" si="7"/>
        <v>0.25</v>
      </c>
      <c r="L37" s="26">
        <f t="shared" si="2"/>
        <v>8.2172513308046042</v>
      </c>
      <c r="M37" s="26">
        <f t="shared" si="3"/>
        <v>5.7881210779224004</v>
      </c>
      <c r="O37">
        <v>5</v>
      </c>
      <c r="P37" s="24"/>
      <c r="Q37" s="1"/>
      <c r="R37" s="2"/>
      <c r="S37" s="26"/>
      <c r="T37" s="26"/>
    </row>
    <row r="38" spans="1:22" x14ac:dyDescent="0.3">
      <c r="A38">
        <v>6</v>
      </c>
      <c r="B38" s="26">
        <f>B37*(1+C6)</f>
        <v>76.146528998789336</v>
      </c>
      <c r="C38" s="46">
        <f>$C$6/$C$22</f>
        <v>0.58539944903581265</v>
      </c>
      <c r="D38" s="2">
        <f t="shared" si="5"/>
        <v>0.25</v>
      </c>
      <c r="E38" s="26">
        <f>B38*(1-C38)*(1-D38)</f>
        <v>23.677794657681396</v>
      </c>
      <c r="H38">
        <v>6</v>
      </c>
      <c r="I38" s="27">
        <f>I37*(1+C6)</f>
        <v>38.073264499394668</v>
      </c>
      <c r="J38" s="46">
        <f>$C$6/$C$22</f>
        <v>0.58539944903581265</v>
      </c>
      <c r="K38" s="2">
        <f t="shared" si="7"/>
        <v>0.25</v>
      </c>
      <c r="L38" s="26">
        <f>I38*(1-J38)*(1-K38)</f>
        <v>11.838897328840698</v>
      </c>
      <c r="O38">
        <v>6</v>
      </c>
      <c r="P38" s="24"/>
      <c r="Q38" s="46"/>
      <c r="R38" s="2"/>
      <c r="S38" s="26"/>
    </row>
    <row r="39" spans="1:22" x14ac:dyDescent="0.3">
      <c r="A39" t="s">
        <v>38</v>
      </c>
      <c r="B39" s="28">
        <f>E38/(C22-C6)</f>
        <v>786.63769626848466</v>
      </c>
      <c r="H39" t="s">
        <v>38</v>
      </c>
      <c r="I39" s="27">
        <f>L38/(C22-C6)</f>
        <v>393.31884813424233</v>
      </c>
      <c r="O39" t="s">
        <v>38</v>
      </c>
      <c r="P39" s="27"/>
    </row>
    <row r="40" spans="1:22" x14ac:dyDescent="0.3">
      <c r="B40" s="28"/>
    </row>
    <row r="41" spans="1:22" x14ac:dyDescent="0.3">
      <c r="A41" t="s">
        <v>39</v>
      </c>
      <c r="B41" s="29">
        <f>SUM(F33:F37)</f>
        <v>57.224996035379512</v>
      </c>
      <c r="H41" t="s">
        <v>39</v>
      </c>
      <c r="I41" s="29">
        <f>SUM(M33:M37)</f>
        <v>28.612498017689756</v>
      </c>
      <c r="O41" t="s">
        <v>39</v>
      </c>
      <c r="P41" s="28"/>
      <c r="T41" s="28"/>
      <c r="U41" s="28"/>
    </row>
    <row r="42" spans="1:22" ht="15" thickBot="1" x14ac:dyDescent="0.35">
      <c r="A42" t="s">
        <v>40</v>
      </c>
      <c r="B42" s="30">
        <f>B39/(1+C22)^5</f>
        <v>554.09699024188251</v>
      </c>
      <c r="D42" s="25"/>
      <c r="E42" s="26"/>
      <c r="F42" s="26"/>
      <c r="H42" t="s">
        <v>40</v>
      </c>
      <c r="I42" s="28">
        <f>I39/(1+C22)^5</f>
        <v>277.04849512094125</v>
      </c>
      <c r="O42" t="s">
        <v>40</v>
      </c>
      <c r="P42" s="28"/>
      <c r="T42" s="28"/>
      <c r="U42" s="28"/>
      <c r="V42" s="12"/>
    </row>
    <row r="43" spans="1:22" ht="15" thickBot="1" x14ac:dyDescent="0.35">
      <c r="A43" t="s">
        <v>0</v>
      </c>
      <c r="B43" s="28">
        <f>SUM(B41:B42)</f>
        <v>611.321986277262</v>
      </c>
      <c r="H43" t="s">
        <v>0</v>
      </c>
      <c r="I43" s="28">
        <f>SUM(I41:I42)</f>
        <v>305.660993138631</v>
      </c>
      <c r="O43" t="s">
        <v>0</v>
      </c>
      <c r="P43" s="36"/>
      <c r="T43" s="36"/>
      <c r="U43" s="28" t="s">
        <v>52</v>
      </c>
    </row>
    <row r="45" spans="1:22" x14ac:dyDescent="0.3">
      <c r="B45" s="14"/>
      <c r="C45" s="14"/>
      <c r="D45" s="14"/>
      <c r="E45" s="14"/>
      <c r="G45" s="14"/>
      <c r="H45" s="14"/>
      <c r="I45" s="14"/>
      <c r="J45" s="14"/>
      <c r="L45" s="14"/>
      <c r="M45" s="14"/>
      <c r="N45" s="14"/>
      <c r="O45" s="14"/>
    </row>
    <row r="46" spans="1:22" x14ac:dyDescent="0.3">
      <c r="C46" s="6"/>
      <c r="D46" s="10"/>
      <c r="E46" s="10"/>
      <c r="F46" s="10"/>
      <c r="G46" s="10"/>
      <c r="H46" s="10"/>
      <c r="I46" s="10"/>
      <c r="J46" s="10"/>
      <c r="K46" s="10"/>
      <c r="L46" s="10"/>
      <c r="M46" s="9"/>
    </row>
    <row r="47" spans="1:22" x14ac:dyDescent="0.3">
      <c r="D47" s="6"/>
      <c r="E47" s="34"/>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3EC9-30E1-4AB9-A353-2B326B468680}">
  <sheetPr codeName="Sheet36">
    <tabColor theme="9" tint="0.59999389629810485"/>
  </sheetPr>
  <dimension ref="A1:Z62"/>
  <sheetViews>
    <sheetView zoomScale="115" zoomScaleNormal="115" workbookViewId="0"/>
  </sheetViews>
  <sheetFormatPr defaultRowHeight="14.4" x14ac:dyDescent="0.3"/>
  <cols>
    <col min="2" max="2" width="17.5546875" customWidth="1"/>
    <col min="3" max="5" width="12.77734375" customWidth="1"/>
    <col min="6" max="6" width="17.5546875" customWidth="1"/>
    <col min="7" max="7" width="8.5546875" customWidth="1"/>
    <col min="8" max="9" width="12.77734375" customWidth="1"/>
    <col min="10" max="10" width="14.21875" bestFit="1" customWidth="1"/>
    <col min="11" max="13" width="12.77734375" customWidth="1"/>
    <col min="14" max="14" width="7.6640625" customWidth="1"/>
    <col min="15" max="18" width="12.77734375" customWidth="1"/>
    <col min="19" max="19" width="17.21875" customWidth="1"/>
    <col min="20" max="20" width="12.77734375" customWidth="1"/>
    <col min="21" max="21" width="17.88671875" customWidth="1"/>
  </cols>
  <sheetData>
    <row r="1" spans="1:6" x14ac:dyDescent="0.3">
      <c r="A1" s="7" t="s">
        <v>1</v>
      </c>
    </row>
    <row r="2" spans="1:6" x14ac:dyDescent="0.3">
      <c r="A2" t="s">
        <v>41</v>
      </c>
    </row>
    <row r="3" spans="1:6" x14ac:dyDescent="0.3">
      <c r="A3" s="12" t="s">
        <v>53</v>
      </c>
    </row>
    <row r="4" spans="1:6" x14ac:dyDescent="0.3">
      <c r="A4" s="7" t="s">
        <v>9</v>
      </c>
      <c r="F4" s="7" t="s">
        <v>45</v>
      </c>
    </row>
    <row r="5" spans="1:6" x14ac:dyDescent="0.3">
      <c r="A5" t="s">
        <v>10</v>
      </c>
    </row>
    <row r="6" spans="1:6" x14ac:dyDescent="0.3">
      <c r="A6" t="s">
        <v>11</v>
      </c>
      <c r="C6" s="13">
        <v>4.2500000000000003E-2</v>
      </c>
      <c r="F6" t="s">
        <v>47</v>
      </c>
    </row>
    <row r="7" spans="1:6" x14ac:dyDescent="0.3">
      <c r="A7" t="s">
        <v>12</v>
      </c>
      <c r="C7" s="13">
        <v>0.04</v>
      </c>
    </row>
    <row r="8" spans="1:6" x14ac:dyDescent="0.3">
      <c r="C8" s="13"/>
    </row>
    <row r="9" spans="1:6" x14ac:dyDescent="0.3">
      <c r="C9" s="31" t="s">
        <v>13</v>
      </c>
      <c r="D9" s="31" t="s">
        <v>14</v>
      </c>
    </row>
    <row r="10" spans="1:6" x14ac:dyDescent="0.3">
      <c r="A10" t="s">
        <v>15</v>
      </c>
      <c r="C10">
        <v>0.85</v>
      </c>
      <c r="D10">
        <v>0.85</v>
      </c>
    </row>
    <row r="11" spans="1:6" x14ac:dyDescent="0.3">
      <c r="A11" t="s">
        <v>16</v>
      </c>
      <c r="C11" s="1">
        <v>0.05</v>
      </c>
      <c r="D11" s="1">
        <v>0.05</v>
      </c>
    </row>
    <row r="12" spans="1:6" x14ac:dyDescent="0.3">
      <c r="A12" t="s">
        <v>17</v>
      </c>
      <c r="C12" s="1">
        <v>0.25</v>
      </c>
      <c r="D12" s="1">
        <v>0.25</v>
      </c>
    </row>
    <row r="13" spans="1:6" x14ac:dyDescent="0.3">
      <c r="A13" t="s">
        <v>48</v>
      </c>
      <c r="C13" s="1">
        <v>0.1</v>
      </c>
      <c r="D13" s="1">
        <v>0.1</v>
      </c>
    </row>
    <row r="14" spans="1:6" x14ac:dyDescent="0.3">
      <c r="A14" t="s">
        <v>18</v>
      </c>
      <c r="C14" s="22">
        <v>1000</v>
      </c>
      <c r="D14" s="22">
        <v>500</v>
      </c>
    </row>
    <row r="15" spans="1:6" x14ac:dyDescent="0.3">
      <c r="A15" t="s">
        <v>19</v>
      </c>
      <c r="C15" s="22">
        <v>50</v>
      </c>
      <c r="D15" s="22">
        <v>25</v>
      </c>
    </row>
    <row r="16" spans="1:6" x14ac:dyDescent="0.3">
      <c r="A16" t="s">
        <v>20</v>
      </c>
      <c r="C16" s="1">
        <v>0.15</v>
      </c>
      <c r="D16" s="1">
        <v>0.15</v>
      </c>
    </row>
    <row r="17" spans="1:20" x14ac:dyDescent="0.3">
      <c r="A17" t="s">
        <v>21</v>
      </c>
      <c r="C17" s="1">
        <v>0.7</v>
      </c>
      <c r="D17" s="1">
        <v>0.7</v>
      </c>
    </row>
    <row r="18" spans="1:20" x14ac:dyDescent="0.3">
      <c r="A18" t="s">
        <v>22</v>
      </c>
      <c r="C18" s="6" t="s">
        <v>23</v>
      </c>
      <c r="D18" s="6" t="s">
        <v>23</v>
      </c>
      <c r="F18" t="s">
        <v>46</v>
      </c>
    </row>
    <row r="20" spans="1:20" x14ac:dyDescent="0.3">
      <c r="A20" t="s">
        <v>24</v>
      </c>
      <c r="C20" s="13">
        <f>C6+C10*C7</f>
        <v>7.6500000000000012E-2</v>
      </c>
      <c r="D20" s="13">
        <f>+C6+D10*C7</f>
        <v>7.6500000000000012E-2</v>
      </c>
    </row>
    <row r="21" spans="1:20" x14ac:dyDescent="0.3">
      <c r="A21" t="s">
        <v>25</v>
      </c>
      <c r="C21" s="13">
        <f>C11*(1-C12)</f>
        <v>3.7500000000000006E-2</v>
      </c>
      <c r="D21" s="13">
        <f>D11*(1-D12)</f>
        <v>3.7500000000000006E-2</v>
      </c>
    </row>
    <row r="22" spans="1:20" x14ac:dyDescent="0.3">
      <c r="A22" t="s">
        <v>26</v>
      </c>
      <c r="C22" s="23">
        <f>C13*C21+(1-C13)*C20</f>
        <v>7.2600000000000012E-2</v>
      </c>
      <c r="D22" s="23">
        <f>D13*D21+(1-D13)*D20</f>
        <v>7.2600000000000012E-2</v>
      </c>
    </row>
    <row r="23" spans="1:20" x14ac:dyDescent="0.3">
      <c r="A23" t="s">
        <v>27</v>
      </c>
      <c r="C23" s="13">
        <f>C16*(1-C12)</f>
        <v>0.11249999999999999</v>
      </c>
      <c r="D23" s="13">
        <f>D16*(1-D12)</f>
        <v>0.11249999999999999</v>
      </c>
    </row>
    <row r="24" spans="1:20" x14ac:dyDescent="0.3">
      <c r="A24" t="s">
        <v>28</v>
      </c>
      <c r="C24" s="1">
        <f>+C17</f>
        <v>0.7</v>
      </c>
      <c r="D24" s="1">
        <f>+D17</f>
        <v>0.7</v>
      </c>
    </row>
    <row r="25" spans="1:20" x14ac:dyDescent="0.3">
      <c r="A25" t="s">
        <v>29</v>
      </c>
      <c r="C25" s="13">
        <f>+C23*C24</f>
        <v>7.8749999999999987E-2</v>
      </c>
      <c r="D25" s="13">
        <f>+D23*D24</f>
        <v>7.8749999999999987E-2</v>
      </c>
    </row>
    <row r="27" spans="1:20" x14ac:dyDescent="0.3">
      <c r="A27" s="12" t="s">
        <v>58</v>
      </c>
    </row>
    <row r="28" spans="1:20" x14ac:dyDescent="0.3">
      <c r="A28" t="s">
        <v>183</v>
      </c>
    </row>
    <row r="30" spans="1:20" x14ac:dyDescent="0.3">
      <c r="O30" t="s">
        <v>56</v>
      </c>
      <c r="R30" s="37">
        <v>0.126</v>
      </c>
    </row>
    <row r="31" spans="1:20" x14ac:dyDescent="0.3">
      <c r="A31" s="12" t="s">
        <v>30</v>
      </c>
      <c r="H31" s="12" t="s">
        <v>31</v>
      </c>
      <c r="O31" s="12" t="s">
        <v>32</v>
      </c>
    </row>
    <row r="32" spans="1:20" x14ac:dyDescent="0.3">
      <c r="A32" t="s">
        <v>3</v>
      </c>
      <c r="B32" t="s">
        <v>33</v>
      </c>
      <c r="C32" t="s">
        <v>34</v>
      </c>
      <c r="D32" t="s">
        <v>35</v>
      </c>
      <c r="E32" t="s">
        <v>36</v>
      </c>
      <c r="F32" t="s">
        <v>37</v>
      </c>
      <c r="I32" t="s">
        <v>33</v>
      </c>
      <c r="J32" t="s">
        <v>34</v>
      </c>
      <c r="K32" t="s">
        <v>35</v>
      </c>
      <c r="L32" t="s">
        <v>36</v>
      </c>
      <c r="M32" t="s">
        <v>37</v>
      </c>
      <c r="P32" t="s">
        <v>33</v>
      </c>
      <c r="Q32" t="s">
        <v>34</v>
      </c>
      <c r="R32" t="s">
        <v>35</v>
      </c>
      <c r="S32" t="s">
        <v>36</v>
      </c>
      <c r="T32" t="s">
        <v>37</v>
      </c>
    </row>
    <row r="33" spans="1:26" x14ac:dyDescent="0.3">
      <c r="A33">
        <v>1</v>
      </c>
      <c r="B33" s="24">
        <f>+C15*(1+C25)</f>
        <v>53.937499999999993</v>
      </c>
      <c r="C33" s="1">
        <f>+C17</f>
        <v>0.7</v>
      </c>
      <c r="D33" s="2">
        <f>+C12</f>
        <v>0.25</v>
      </c>
      <c r="E33" s="26">
        <f>B33*(1-C33)*(1-D33)</f>
        <v>12.135937499999999</v>
      </c>
      <c r="F33" s="26">
        <f>E33/(1+$C$22)^A33</f>
        <v>11.314504475107215</v>
      </c>
      <c r="H33">
        <v>1</v>
      </c>
      <c r="I33" s="24">
        <f>+D15*(1+D25)</f>
        <v>26.968749999999996</v>
      </c>
      <c r="J33" s="1">
        <f>+D17</f>
        <v>0.7</v>
      </c>
      <c r="K33" s="2">
        <f>+D12</f>
        <v>0.25</v>
      </c>
      <c r="L33" s="26">
        <f>I33*(1-J33)*(1-K33)</f>
        <v>6.0679687499999995</v>
      </c>
      <c r="M33" s="26">
        <f>L33/(1+$D$22)^H33</f>
        <v>5.6572522375536076</v>
      </c>
      <c r="O33">
        <v>1</v>
      </c>
      <c r="P33" s="24">
        <f>(+C15+D15)*(1+$V$33)</f>
        <v>81.615000000000009</v>
      </c>
      <c r="Q33" s="1">
        <f>+$C$24</f>
        <v>0.7</v>
      </c>
      <c r="R33" s="2">
        <f>+C12</f>
        <v>0.25</v>
      </c>
      <c r="S33" s="26">
        <f>P33*(1-Q33)*(1-R33)</f>
        <v>18.363375000000005</v>
      </c>
      <c r="T33" s="26">
        <f>S33/(1+$C$22)^O33</f>
        <v>17.120431661383559</v>
      </c>
      <c r="U33" s="41" t="s">
        <v>57</v>
      </c>
      <c r="V33" s="48">
        <f>Q33*R30</f>
        <v>8.8200000000000001E-2</v>
      </c>
      <c r="W33" s="41" t="s">
        <v>61</v>
      </c>
      <c r="X33" s="41"/>
      <c r="Y33" s="41"/>
      <c r="Z33" s="41"/>
    </row>
    <row r="34" spans="1:26" x14ac:dyDescent="0.3">
      <c r="A34">
        <v>2</v>
      </c>
      <c r="B34" s="26">
        <f>B33*(1+$C$25)</f>
        <v>58.185078124999983</v>
      </c>
      <c r="C34" s="1">
        <f>+C33</f>
        <v>0.7</v>
      </c>
      <c r="D34" s="2">
        <f>+D33</f>
        <v>0.25</v>
      </c>
      <c r="E34" s="26">
        <f t="shared" ref="E34:E37" si="0">B34*(1-C34)*(1-D34)</f>
        <v>13.091642578124999</v>
      </c>
      <c r="F34" s="26">
        <f t="shared" ref="F34:F37" si="1">E34/(1+$C$22)^A34</f>
        <v>11.379378801530775</v>
      </c>
      <c r="H34">
        <v>2</v>
      </c>
      <c r="I34" s="26">
        <f>I33*(1+$D$25)</f>
        <v>29.092539062499991</v>
      </c>
      <c r="J34" s="1">
        <f>+J33</f>
        <v>0.7</v>
      </c>
      <c r="K34" s="2">
        <f>+K33</f>
        <v>0.25</v>
      </c>
      <c r="L34" s="26">
        <f t="shared" ref="L34:L37" si="2">I34*(1-J34)*(1-K34)</f>
        <v>6.5458212890624994</v>
      </c>
      <c r="M34" s="26">
        <f t="shared" ref="M34:M37" si="3">L34/(1+$D$22)^H34</f>
        <v>5.6896894007653875</v>
      </c>
      <c r="O34">
        <v>2</v>
      </c>
      <c r="P34" s="24">
        <f>P33*(1+$V$33)</f>
        <v>88.813443000000021</v>
      </c>
      <c r="Q34" s="1">
        <f>+Q33</f>
        <v>0.7</v>
      </c>
      <c r="R34" s="2">
        <f>+R33</f>
        <v>0.25</v>
      </c>
      <c r="S34" s="26">
        <f t="shared" ref="S34:S37" si="4">P34*(1-Q34)*(1-R34)</f>
        <v>19.983024675000006</v>
      </c>
      <c r="T34" s="26">
        <f t="shared" ref="T34:T37" si="5">S34/(1+$C$22)^O34</f>
        <v>17.369432905013603</v>
      </c>
    </row>
    <row r="35" spans="1:26" x14ac:dyDescent="0.3">
      <c r="A35">
        <v>3</v>
      </c>
      <c r="B35" s="26">
        <f t="shared" ref="B35:B37" si="6">B34*(1+$C$25)</f>
        <v>62.767153027343724</v>
      </c>
      <c r="C35" s="1">
        <f t="shared" ref="C35:D38" si="7">+C34</f>
        <v>0.7</v>
      </c>
      <c r="D35" s="2">
        <f t="shared" si="7"/>
        <v>0.25</v>
      </c>
      <c r="E35" s="26">
        <f t="shared" si="0"/>
        <v>14.122609431152341</v>
      </c>
      <c r="F35" s="26">
        <f t="shared" si="1"/>
        <v>11.444625099898678</v>
      </c>
      <c r="H35">
        <v>3</v>
      </c>
      <c r="I35" s="26">
        <f t="shared" ref="I35:I37" si="8">I34*(1+$D$25)</f>
        <v>31.383576513671862</v>
      </c>
      <c r="J35" s="1">
        <f t="shared" ref="J35:K38" si="9">+J34</f>
        <v>0.7</v>
      </c>
      <c r="K35" s="2">
        <f t="shared" si="9"/>
        <v>0.25</v>
      </c>
      <c r="L35" s="26">
        <f t="shared" si="2"/>
        <v>7.0613047155761706</v>
      </c>
      <c r="M35" s="26">
        <f t="shared" si="3"/>
        <v>5.722312549949339</v>
      </c>
      <c r="O35">
        <v>3</v>
      </c>
      <c r="P35" s="24">
        <f>P34*(1+$V$33)</f>
        <v>96.646788672600024</v>
      </c>
      <c r="Q35" s="1">
        <f t="shared" ref="Q35:R37" si="10">+Q34</f>
        <v>0.7</v>
      </c>
      <c r="R35" s="2">
        <f t="shared" si="10"/>
        <v>0.25</v>
      </c>
      <c r="S35" s="26">
        <f t="shared" si="4"/>
        <v>21.745527451335008</v>
      </c>
      <c r="T35" s="26">
        <f t="shared" si="5"/>
        <v>17.622055647245762</v>
      </c>
    </row>
    <row r="36" spans="1:26" x14ac:dyDescent="0.3">
      <c r="A36">
        <v>4</v>
      </c>
      <c r="B36" s="26">
        <f t="shared" si="6"/>
        <v>67.710066328247038</v>
      </c>
      <c r="C36" s="1">
        <f t="shared" si="7"/>
        <v>0.7</v>
      </c>
      <c r="D36" s="2">
        <f t="shared" si="7"/>
        <v>0.25</v>
      </c>
      <c r="E36" s="26">
        <f t="shared" si="0"/>
        <v>15.234764923855586</v>
      </c>
      <c r="F36" s="26">
        <f t="shared" si="1"/>
        <v>11.510245502998041</v>
      </c>
      <c r="H36">
        <v>4</v>
      </c>
      <c r="I36" s="26">
        <f t="shared" si="8"/>
        <v>33.855033164123519</v>
      </c>
      <c r="J36" s="1">
        <f t="shared" si="9"/>
        <v>0.7</v>
      </c>
      <c r="K36" s="2">
        <f t="shared" si="9"/>
        <v>0.25</v>
      </c>
      <c r="L36" s="26">
        <f t="shared" si="2"/>
        <v>7.617382461927793</v>
      </c>
      <c r="M36" s="26">
        <f t="shared" si="3"/>
        <v>5.7551227514990204</v>
      </c>
      <c r="O36">
        <v>4</v>
      </c>
      <c r="P36" s="24">
        <f>P35*(1+$V$33)</f>
        <v>105.17103543352336</v>
      </c>
      <c r="Q36" s="1">
        <f t="shared" si="10"/>
        <v>0.7</v>
      </c>
      <c r="R36" s="2">
        <f t="shared" si="10"/>
        <v>0.25</v>
      </c>
      <c r="S36" s="26">
        <f t="shared" si="4"/>
        <v>23.663482972542759</v>
      </c>
      <c r="T36" s="26">
        <f t="shared" si="5"/>
        <v>17.878352559512251</v>
      </c>
    </row>
    <row r="37" spans="1:26" x14ac:dyDescent="0.3">
      <c r="A37">
        <v>5</v>
      </c>
      <c r="B37" s="26">
        <f t="shared" si="6"/>
        <v>73.042234051596481</v>
      </c>
      <c r="C37" s="1">
        <f t="shared" si="7"/>
        <v>0.7</v>
      </c>
      <c r="D37" s="2">
        <f t="shared" si="7"/>
        <v>0.25</v>
      </c>
      <c r="E37" s="26">
        <f t="shared" si="0"/>
        <v>16.434502661609208</v>
      </c>
      <c r="F37" s="26">
        <f t="shared" si="1"/>
        <v>11.576242155844801</v>
      </c>
      <c r="H37">
        <v>5</v>
      </c>
      <c r="I37" s="26">
        <f t="shared" si="8"/>
        <v>36.52111702579824</v>
      </c>
      <c r="J37" s="1">
        <f t="shared" si="9"/>
        <v>0.7</v>
      </c>
      <c r="K37" s="2">
        <f t="shared" si="9"/>
        <v>0.25</v>
      </c>
      <c r="L37" s="26">
        <f t="shared" si="2"/>
        <v>8.2172513308046042</v>
      </c>
      <c r="M37" s="26">
        <f t="shared" si="3"/>
        <v>5.7881210779224004</v>
      </c>
      <c r="O37">
        <v>5</v>
      </c>
      <c r="P37" s="24">
        <f>P36*(1+$V$33)</f>
        <v>114.44712075876012</v>
      </c>
      <c r="Q37" s="1">
        <f t="shared" si="10"/>
        <v>0.7</v>
      </c>
      <c r="R37" s="2">
        <f t="shared" si="10"/>
        <v>0.25</v>
      </c>
      <c r="S37" s="26">
        <f t="shared" si="4"/>
        <v>25.750602170721031</v>
      </c>
      <c r="T37" s="26">
        <f t="shared" si="5"/>
        <v>18.13837707930378</v>
      </c>
    </row>
    <row r="38" spans="1:26" x14ac:dyDescent="0.3">
      <c r="A38">
        <v>6</v>
      </c>
      <c r="B38" s="26">
        <f>B37*(1+C6)</f>
        <v>76.146528998789336</v>
      </c>
      <c r="C38" s="46">
        <f>$C$6/$C$22</f>
        <v>0.58539944903581265</v>
      </c>
      <c r="D38" s="2">
        <f t="shared" si="7"/>
        <v>0.25</v>
      </c>
      <c r="E38" s="26">
        <f>B38*(1-C38)*(1-D38)</f>
        <v>23.677794657681396</v>
      </c>
      <c r="H38">
        <v>6</v>
      </c>
      <c r="I38" s="27">
        <f>I37*(1+C6)</f>
        <v>38.073264499394668</v>
      </c>
      <c r="J38" s="46">
        <f>$C$6/$C$22</f>
        <v>0.58539944903581265</v>
      </c>
      <c r="K38" s="2">
        <f t="shared" si="9"/>
        <v>0.25</v>
      </c>
      <c r="L38" s="26">
        <f>I38*(1-J38)*(1-K38)</f>
        <v>11.838897328840698</v>
      </c>
      <c r="O38">
        <v>6</v>
      </c>
      <c r="P38" s="24">
        <f>P37*(1+C6)</f>
        <v>119.31112339100743</v>
      </c>
      <c r="Q38" s="46">
        <f>+C6/C22</f>
        <v>0.58539944903581265</v>
      </c>
      <c r="R38" s="2">
        <f>+R37</f>
        <v>0.25</v>
      </c>
      <c r="S38" s="26">
        <f>P38*(1-Q38)*(1-R38)</f>
        <v>37.099843120550865</v>
      </c>
    </row>
    <row r="39" spans="1:26" x14ac:dyDescent="0.3">
      <c r="A39" t="s">
        <v>38</v>
      </c>
      <c r="B39" s="28">
        <f>E38/(C22-C6)</f>
        <v>786.63769626848466</v>
      </c>
      <c r="H39" t="s">
        <v>38</v>
      </c>
      <c r="I39" s="27">
        <f>L38/(C22-C6)</f>
        <v>393.31884813424233</v>
      </c>
      <c r="O39" t="s">
        <v>38</v>
      </c>
      <c r="P39" s="27">
        <f>S38/(C22-C6)</f>
        <v>1232.5529275930517</v>
      </c>
    </row>
    <row r="40" spans="1:26" x14ac:dyDescent="0.3">
      <c r="B40" s="28"/>
    </row>
    <row r="41" spans="1:26" x14ac:dyDescent="0.3">
      <c r="A41" t="s">
        <v>39</v>
      </c>
      <c r="B41" s="29">
        <f>SUM(F33:F37)</f>
        <v>57.224996035379512</v>
      </c>
      <c r="H41" t="s">
        <v>39</v>
      </c>
      <c r="I41" s="29">
        <f>SUM(M33:M37)</f>
        <v>28.612498017689756</v>
      </c>
      <c r="O41" t="s">
        <v>39</v>
      </c>
      <c r="P41" s="28">
        <f>SUM(T33:T37)</f>
        <v>88.128649852458949</v>
      </c>
      <c r="S41" t="s">
        <v>51</v>
      </c>
      <c r="T41" s="28">
        <f>P43</f>
        <v>956.32231859323872</v>
      </c>
      <c r="U41" s="28"/>
    </row>
    <row r="42" spans="1:26" ht="15" thickBot="1" x14ac:dyDescent="0.35">
      <c r="A42" t="s">
        <v>40</v>
      </c>
      <c r="B42" s="30">
        <f>B39/(1+C22)^5</f>
        <v>554.09699024188251</v>
      </c>
      <c r="D42" s="25"/>
      <c r="E42" s="26"/>
      <c r="F42" s="26"/>
      <c r="H42" t="s">
        <v>40</v>
      </c>
      <c r="I42" s="28">
        <f>I39/(1+C22)^5</f>
        <v>277.04849512094125</v>
      </c>
      <c r="O42" t="s">
        <v>40</v>
      </c>
      <c r="P42" s="28">
        <f>P39/(1+C22)^5</f>
        <v>868.1936687407798</v>
      </c>
      <c r="S42" t="s">
        <v>32</v>
      </c>
      <c r="T42" s="28">
        <f>+B43+I43</f>
        <v>916.98297941589294</v>
      </c>
      <c r="U42" s="28"/>
      <c r="V42" s="12"/>
    </row>
    <row r="43" spans="1:26" ht="15" thickBot="1" x14ac:dyDescent="0.35">
      <c r="A43" t="s">
        <v>0</v>
      </c>
      <c r="B43" s="28">
        <f>SUM(B41:B42)</f>
        <v>611.321986277262</v>
      </c>
      <c r="H43" t="s">
        <v>0</v>
      </c>
      <c r="I43" s="28">
        <f>SUM(I41:I42)</f>
        <v>305.660993138631</v>
      </c>
      <c r="O43" t="s">
        <v>0</v>
      </c>
      <c r="P43" s="36">
        <f>P41+P42</f>
        <v>956.32231859323872</v>
      </c>
      <c r="S43" t="s">
        <v>52</v>
      </c>
      <c r="T43" s="36">
        <f>T41-T42</f>
        <v>39.339339177345778</v>
      </c>
      <c r="U43" s="28"/>
    </row>
    <row r="45" spans="1:26" x14ac:dyDescent="0.3">
      <c r="B45" s="14"/>
      <c r="C45" s="14"/>
      <c r="D45" s="14"/>
      <c r="E45" s="14"/>
      <c r="G45" s="14"/>
      <c r="H45" s="14"/>
      <c r="I45" s="14"/>
      <c r="J45" s="14"/>
      <c r="L45" s="14"/>
      <c r="M45" s="14"/>
      <c r="N45" s="14"/>
      <c r="O45" s="14"/>
    </row>
    <row r="46" spans="1:26" x14ac:dyDescent="0.3">
      <c r="C46" s="6"/>
      <c r="D46" s="10"/>
      <c r="E46" s="10"/>
      <c r="F46" s="10"/>
      <c r="G46" s="10"/>
      <c r="H46" s="10"/>
      <c r="I46" s="10"/>
      <c r="J46" s="10"/>
      <c r="K46" s="10"/>
      <c r="L46" s="10"/>
      <c r="M46" s="9"/>
    </row>
    <row r="47" spans="1:26" x14ac:dyDescent="0.3">
      <c r="C47" s="1"/>
      <c r="D47" s="1"/>
      <c r="E47" s="1"/>
    </row>
    <row r="50" spans="3:7" x14ac:dyDescent="0.3">
      <c r="C50" s="9"/>
      <c r="D50" s="9"/>
      <c r="E50" s="9"/>
      <c r="G50" s="9"/>
    </row>
    <row r="51" spans="3:7" x14ac:dyDescent="0.3">
      <c r="C51" s="9"/>
      <c r="D51" s="9"/>
      <c r="E51" s="9"/>
      <c r="G51" s="9"/>
    </row>
    <row r="52" spans="3:7" x14ac:dyDescent="0.3">
      <c r="C52" s="9"/>
      <c r="D52" s="9"/>
      <c r="E52" s="9"/>
      <c r="G52" s="9"/>
    </row>
    <row r="53" spans="3:7" x14ac:dyDescent="0.3">
      <c r="C53" s="9"/>
      <c r="D53" s="9"/>
      <c r="E53" s="9"/>
      <c r="G53" s="9"/>
    </row>
    <row r="56" spans="3:7" x14ac:dyDescent="0.3">
      <c r="C56" s="15"/>
      <c r="D56" s="15"/>
      <c r="E56" s="15"/>
      <c r="F56" s="15"/>
    </row>
    <row r="57" spans="3:7" x14ac:dyDescent="0.3">
      <c r="D57" s="9"/>
      <c r="E57" s="2"/>
      <c r="F57" s="2"/>
    </row>
    <row r="58" spans="3:7" x14ac:dyDescent="0.3">
      <c r="D58" s="9"/>
      <c r="E58" s="2"/>
      <c r="F58" s="2"/>
    </row>
    <row r="59" spans="3:7" x14ac:dyDescent="0.3">
      <c r="D59" s="9"/>
      <c r="E59" s="2"/>
      <c r="F59" s="2"/>
    </row>
    <row r="60" spans="3:7" x14ac:dyDescent="0.3">
      <c r="D60" s="9"/>
      <c r="E60" s="2"/>
      <c r="F60" s="2"/>
    </row>
    <row r="62" spans="3:7" x14ac:dyDescent="0.3">
      <c r="E62" s="6"/>
      <c r="F62" s="4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36D08-1D5D-495E-B883-C00ED96A18BD}">
  <sheetPr codeName="Sheet45">
    <tabColor theme="5" tint="0.39997558519241921"/>
  </sheetPr>
  <dimension ref="A1:Y46"/>
  <sheetViews>
    <sheetView zoomScale="115" zoomScaleNormal="115" workbookViewId="0"/>
  </sheetViews>
  <sheetFormatPr defaultRowHeight="14.4" x14ac:dyDescent="0.3"/>
  <cols>
    <col min="2" max="2" width="17.5546875" customWidth="1"/>
    <col min="3" max="20" width="12.77734375" customWidth="1"/>
  </cols>
  <sheetData>
    <row r="1" spans="1:6" x14ac:dyDescent="0.3">
      <c r="A1" s="7" t="s">
        <v>1</v>
      </c>
    </row>
    <row r="2" spans="1:6" x14ac:dyDescent="0.3">
      <c r="A2" t="s">
        <v>41</v>
      </c>
    </row>
    <row r="3" spans="1:6" x14ac:dyDescent="0.3">
      <c r="A3" s="12" t="s">
        <v>53</v>
      </c>
    </row>
    <row r="4" spans="1:6" x14ac:dyDescent="0.3">
      <c r="A4" s="7" t="s">
        <v>9</v>
      </c>
      <c r="F4" s="7" t="s">
        <v>45</v>
      </c>
    </row>
    <row r="5" spans="1:6" x14ac:dyDescent="0.3">
      <c r="A5" t="s">
        <v>10</v>
      </c>
    </row>
    <row r="6" spans="1:6" x14ac:dyDescent="0.3">
      <c r="A6" t="s">
        <v>11</v>
      </c>
      <c r="C6" s="13">
        <v>4.2500000000000003E-2</v>
      </c>
      <c r="F6" t="s">
        <v>47</v>
      </c>
    </row>
    <row r="7" spans="1:6" x14ac:dyDescent="0.3">
      <c r="A7" t="s">
        <v>12</v>
      </c>
      <c r="C7" s="13">
        <v>0.04</v>
      </c>
    </row>
    <row r="8" spans="1:6" x14ac:dyDescent="0.3">
      <c r="C8" s="13"/>
    </row>
    <row r="9" spans="1:6" x14ac:dyDescent="0.3">
      <c r="C9" s="31" t="s">
        <v>13</v>
      </c>
      <c r="D9" s="31" t="s">
        <v>14</v>
      </c>
    </row>
    <row r="10" spans="1:6" x14ac:dyDescent="0.3">
      <c r="A10" t="s">
        <v>15</v>
      </c>
      <c r="C10">
        <v>0.85</v>
      </c>
      <c r="D10">
        <v>0.85</v>
      </c>
    </row>
    <row r="11" spans="1:6" x14ac:dyDescent="0.3">
      <c r="A11" t="s">
        <v>16</v>
      </c>
      <c r="C11" s="1">
        <v>0.05</v>
      </c>
      <c r="D11" s="1">
        <v>0.05</v>
      </c>
    </row>
    <row r="12" spans="1:6" x14ac:dyDescent="0.3">
      <c r="A12" t="s">
        <v>17</v>
      </c>
      <c r="C12" s="1">
        <v>0.25</v>
      </c>
      <c r="D12" s="1">
        <v>0.25</v>
      </c>
    </row>
    <row r="13" spans="1:6" x14ac:dyDescent="0.3">
      <c r="A13" t="s">
        <v>48</v>
      </c>
      <c r="C13" s="1">
        <v>0.1</v>
      </c>
      <c r="D13" s="1">
        <v>0.1</v>
      </c>
    </row>
    <row r="14" spans="1:6" x14ac:dyDescent="0.3">
      <c r="A14" t="s">
        <v>18</v>
      </c>
      <c r="C14" s="22">
        <v>1000</v>
      </c>
      <c r="D14" s="22">
        <v>500</v>
      </c>
    </row>
    <row r="15" spans="1:6" x14ac:dyDescent="0.3">
      <c r="A15" t="s">
        <v>19</v>
      </c>
      <c r="C15" s="22">
        <v>50</v>
      </c>
      <c r="D15" s="22">
        <v>25</v>
      </c>
    </row>
    <row r="16" spans="1:6" x14ac:dyDescent="0.3">
      <c r="A16" t="s">
        <v>20</v>
      </c>
      <c r="C16" s="1">
        <v>0.15</v>
      </c>
      <c r="D16" s="1">
        <v>0.15</v>
      </c>
    </row>
    <row r="17" spans="1:25" x14ac:dyDescent="0.3">
      <c r="A17" t="s">
        <v>21</v>
      </c>
      <c r="C17" s="1">
        <v>0.7</v>
      </c>
      <c r="D17" s="1">
        <v>0.7</v>
      </c>
    </row>
    <row r="18" spans="1:25" x14ac:dyDescent="0.3">
      <c r="A18" t="s">
        <v>22</v>
      </c>
      <c r="C18" s="6" t="s">
        <v>23</v>
      </c>
      <c r="D18" s="6" t="s">
        <v>23</v>
      </c>
      <c r="F18" t="s">
        <v>46</v>
      </c>
    </row>
    <row r="20" spans="1:25" x14ac:dyDescent="0.3">
      <c r="A20" t="s">
        <v>24</v>
      </c>
      <c r="C20" s="13">
        <f>C6+C10*C7</f>
        <v>7.6500000000000012E-2</v>
      </c>
      <c r="D20" s="13">
        <f>+C6+D10*C7</f>
        <v>7.6500000000000012E-2</v>
      </c>
    </row>
    <row r="21" spans="1:25" x14ac:dyDescent="0.3">
      <c r="A21" t="s">
        <v>25</v>
      </c>
      <c r="C21" s="13">
        <f>C11*(1-C12)</f>
        <v>3.7500000000000006E-2</v>
      </c>
      <c r="D21" s="13">
        <f>D11*(1-D12)</f>
        <v>3.7500000000000006E-2</v>
      </c>
    </row>
    <row r="22" spans="1:25" x14ac:dyDescent="0.3">
      <c r="A22" t="s">
        <v>26</v>
      </c>
      <c r="C22" s="23">
        <f>C13*C21+(1-C13)*C20</f>
        <v>7.2600000000000012E-2</v>
      </c>
      <c r="D22" s="23">
        <f>D13*D21+(1-D13)*D20</f>
        <v>7.2600000000000012E-2</v>
      </c>
    </row>
    <row r="23" spans="1:25" x14ac:dyDescent="0.3">
      <c r="A23" t="s">
        <v>27</v>
      </c>
      <c r="C23" s="13">
        <f>C16*(1-C12)</f>
        <v>0.11249999999999999</v>
      </c>
      <c r="D23" s="13">
        <f>D16*(1-D12)</f>
        <v>0.11249999999999999</v>
      </c>
    </row>
    <row r="24" spans="1:25" x14ac:dyDescent="0.3">
      <c r="A24" t="s">
        <v>28</v>
      </c>
      <c r="C24" s="1">
        <f>+C17</f>
        <v>0.7</v>
      </c>
      <c r="D24" s="1">
        <f>+D17</f>
        <v>0.7</v>
      </c>
    </row>
    <row r="25" spans="1:25" x14ac:dyDescent="0.3">
      <c r="A25" t="s">
        <v>29</v>
      </c>
      <c r="C25" s="13">
        <f>+C23*C24</f>
        <v>7.8749999999999987E-2</v>
      </c>
      <c r="D25" s="13">
        <f>+D23*D24</f>
        <v>7.8749999999999987E-2</v>
      </c>
      <c r="X25" s="9"/>
    </row>
    <row r="26" spans="1:25" x14ac:dyDescent="0.3">
      <c r="X26" s="9"/>
      <c r="Y26" s="9"/>
    </row>
    <row r="27" spans="1:25" x14ac:dyDescent="0.3">
      <c r="A27" s="12" t="s">
        <v>184</v>
      </c>
    </row>
    <row r="28" spans="1:25" x14ac:dyDescent="0.3">
      <c r="A28" t="s">
        <v>185</v>
      </c>
    </row>
    <row r="30" spans="1:25" x14ac:dyDescent="0.3">
      <c r="O30" t="s">
        <v>60</v>
      </c>
      <c r="R30" s="37">
        <v>0.9</v>
      </c>
    </row>
    <row r="31" spans="1:25" x14ac:dyDescent="0.3">
      <c r="A31" s="12" t="s">
        <v>30</v>
      </c>
      <c r="H31" s="12" t="s">
        <v>31</v>
      </c>
      <c r="O31" s="12" t="s">
        <v>32</v>
      </c>
    </row>
    <row r="32" spans="1:25" x14ac:dyDescent="0.3">
      <c r="A32" t="s">
        <v>3</v>
      </c>
      <c r="B32" t="s">
        <v>33</v>
      </c>
      <c r="C32" t="s">
        <v>34</v>
      </c>
      <c r="D32" t="s">
        <v>35</v>
      </c>
      <c r="E32" t="s">
        <v>36</v>
      </c>
      <c r="F32" t="s">
        <v>37</v>
      </c>
      <c r="I32" t="s">
        <v>33</v>
      </c>
      <c r="J32" t="s">
        <v>34</v>
      </c>
      <c r="K32" t="s">
        <v>35</v>
      </c>
      <c r="L32" t="s">
        <v>36</v>
      </c>
      <c r="M32" t="s">
        <v>37</v>
      </c>
      <c r="P32" t="s">
        <v>33</v>
      </c>
      <c r="Q32" t="s">
        <v>34</v>
      </c>
      <c r="R32" t="s">
        <v>35</v>
      </c>
      <c r="S32" t="s">
        <v>36</v>
      </c>
      <c r="T32" t="s">
        <v>37</v>
      </c>
    </row>
    <row r="33" spans="1:22" x14ac:dyDescent="0.3">
      <c r="A33">
        <v>1</v>
      </c>
      <c r="B33" s="24">
        <f>+C15*(1+C25)</f>
        <v>53.937499999999993</v>
      </c>
      <c r="C33" s="1">
        <f>+C17</f>
        <v>0.7</v>
      </c>
      <c r="D33" s="2">
        <f>+C12</f>
        <v>0.25</v>
      </c>
      <c r="E33" s="26">
        <f>B33*(1-C33)*(1-D33)</f>
        <v>12.135937499999999</v>
      </c>
      <c r="F33" s="26">
        <f>E33/(1+$C$22)^A33</f>
        <v>11.314504475107215</v>
      </c>
      <c r="H33">
        <v>1</v>
      </c>
      <c r="I33" s="24">
        <f>+D15*(1+D25)</f>
        <v>26.968749999999996</v>
      </c>
      <c r="J33" s="1">
        <f>+D17</f>
        <v>0.7</v>
      </c>
      <c r="K33" s="2">
        <f>+D12</f>
        <v>0.25</v>
      </c>
      <c r="L33" s="26">
        <f>I33*(1-J33)*(1-K33)</f>
        <v>6.0679687499999995</v>
      </c>
      <c r="M33" s="26">
        <f>L33/(1+$D$22)^H33</f>
        <v>5.6572522375536076</v>
      </c>
      <c r="O33">
        <v>1</v>
      </c>
      <c r="P33" s="24"/>
      <c r="Q33" s="1"/>
      <c r="R33" s="2"/>
      <c r="S33" s="26"/>
      <c r="T33" s="26"/>
      <c r="V33" s="56"/>
    </row>
    <row r="34" spans="1:22" x14ac:dyDescent="0.3">
      <c r="A34">
        <v>2</v>
      </c>
      <c r="B34" s="26">
        <f>B33*(1+$C$25)</f>
        <v>58.185078124999983</v>
      </c>
      <c r="C34" s="1">
        <f>+C33</f>
        <v>0.7</v>
      </c>
      <c r="D34" s="2">
        <f>+D33</f>
        <v>0.25</v>
      </c>
      <c r="E34" s="26">
        <f t="shared" ref="E34:E37" si="0">B34*(1-C34)*(1-D34)</f>
        <v>13.091642578124999</v>
      </c>
      <c r="F34" s="26">
        <f t="shared" ref="F34:F37" si="1">E34/(1+$C$22)^A34</f>
        <v>11.379378801530775</v>
      </c>
      <c r="H34">
        <v>2</v>
      </c>
      <c r="I34" s="26">
        <f>I33*(1+$D$25)</f>
        <v>29.092539062499991</v>
      </c>
      <c r="J34" s="1">
        <f>+J33</f>
        <v>0.7</v>
      </c>
      <c r="K34" s="2">
        <f>+K33</f>
        <v>0.25</v>
      </c>
      <c r="L34" s="26">
        <f t="shared" ref="L34:L37" si="2">I34*(1-J34)*(1-K34)</f>
        <v>6.5458212890624994</v>
      </c>
      <c r="M34" s="26">
        <f t="shared" ref="M34:M37" si="3">L34/(1+$D$22)^H34</f>
        <v>5.6896894007653875</v>
      </c>
      <c r="O34">
        <v>2</v>
      </c>
      <c r="P34" s="24"/>
      <c r="Q34" s="1"/>
      <c r="R34" s="2"/>
      <c r="S34" s="26"/>
      <c r="T34" s="26"/>
    </row>
    <row r="35" spans="1:22" x14ac:dyDescent="0.3">
      <c r="A35">
        <v>3</v>
      </c>
      <c r="B35" s="26">
        <f t="shared" ref="B35:B37" si="4">B34*(1+$C$25)</f>
        <v>62.767153027343724</v>
      </c>
      <c r="C35" s="1">
        <f t="shared" ref="C35:D38" si="5">+C34</f>
        <v>0.7</v>
      </c>
      <c r="D35" s="2">
        <f t="shared" si="5"/>
        <v>0.25</v>
      </c>
      <c r="E35" s="26">
        <f t="shared" si="0"/>
        <v>14.122609431152341</v>
      </c>
      <c r="F35" s="26">
        <f t="shared" si="1"/>
        <v>11.444625099898678</v>
      </c>
      <c r="H35">
        <v>3</v>
      </c>
      <c r="I35" s="26">
        <f t="shared" ref="I35:I37" si="6">I34*(1+$D$25)</f>
        <v>31.383576513671862</v>
      </c>
      <c r="J35" s="1">
        <f t="shared" ref="J35:K38" si="7">+J34</f>
        <v>0.7</v>
      </c>
      <c r="K35" s="2">
        <f t="shared" si="7"/>
        <v>0.25</v>
      </c>
      <c r="L35" s="26">
        <f t="shared" si="2"/>
        <v>7.0613047155761706</v>
      </c>
      <c r="M35" s="26">
        <f t="shared" si="3"/>
        <v>5.722312549949339</v>
      </c>
      <c r="O35">
        <v>3</v>
      </c>
      <c r="P35" s="24"/>
      <c r="Q35" s="1"/>
      <c r="R35" s="2"/>
      <c r="S35" s="26"/>
      <c r="T35" s="26"/>
    </row>
    <row r="36" spans="1:22" x14ac:dyDescent="0.3">
      <c r="A36">
        <v>4</v>
      </c>
      <c r="B36" s="26">
        <f t="shared" si="4"/>
        <v>67.710066328247038</v>
      </c>
      <c r="C36" s="1">
        <f t="shared" si="5"/>
        <v>0.7</v>
      </c>
      <c r="D36" s="2">
        <f t="shared" si="5"/>
        <v>0.25</v>
      </c>
      <c r="E36" s="26">
        <f t="shared" si="0"/>
        <v>15.234764923855586</v>
      </c>
      <c r="F36" s="26">
        <f t="shared" si="1"/>
        <v>11.510245502998041</v>
      </c>
      <c r="H36">
        <v>4</v>
      </c>
      <c r="I36" s="26">
        <f t="shared" si="6"/>
        <v>33.855033164123519</v>
      </c>
      <c r="J36" s="1">
        <f t="shared" si="7"/>
        <v>0.7</v>
      </c>
      <c r="K36" s="2">
        <f t="shared" si="7"/>
        <v>0.25</v>
      </c>
      <c r="L36" s="26">
        <f t="shared" si="2"/>
        <v>7.617382461927793</v>
      </c>
      <c r="M36" s="26">
        <f t="shared" si="3"/>
        <v>5.7551227514990204</v>
      </c>
      <c r="O36">
        <v>4</v>
      </c>
      <c r="P36" s="24"/>
      <c r="Q36" s="1"/>
      <c r="R36" s="2"/>
      <c r="S36" s="26"/>
      <c r="T36" s="26"/>
    </row>
    <row r="37" spans="1:22" x14ac:dyDescent="0.3">
      <c r="A37">
        <v>5</v>
      </c>
      <c r="B37" s="26">
        <f t="shared" si="4"/>
        <v>73.042234051596481</v>
      </c>
      <c r="C37" s="1">
        <f t="shared" si="5"/>
        <v>0.7</v>
      </c>
      <c r="D37" s="2">
        <f t="shared" si="5"/>
        <v>0.25</v>
      </c>
      <c r="E37" s="26">
        <f t="shared" si="0"/>
        <v>16.434502661609208</v>
      </c>
      <c r="F37" s="26">
        <f t="shared" si="1"/>
        <v>11.576242155844801</v>
      </c>
      <c r="H37">
        <v>5</v>
      </c>
      <c r="I37" s="26">
        <f t="shared" si="6"/>
        <v>36.52111702579824</v>
      </c>
      <c r="J37" s="1">
        <f t="shared" si="7"/>
        <v>0.7</v>
      </c>
      <c r="K37" s="2">
        <f t="shared" si="7"/>
        <v>0.25</v>
      </c>
      <c r="L37" s="26">
        <f t="shared" si="2"/>
        <v>8.2172513308046042</v>
      </c>
      <c r="M37" s="26">
        <f t="shared" si="3"/>
        <v>5.7881210779224004</v>
      </c>
      <c r="O37">
        <v>5</v>
      </c>
      <c r="P37" s="24"/>
      <c r="Q37" s="1"/>
      <c r="R37" s="2"/>
      <c r="S37" s="26"/>
      <c r="T37" s="26"/>
    </row>
    <row r="38" spans="1:22" x14ac:dyDescent="0.3">
      <c r="A38">
        <v>6</v>
      </c>
      <c r="B38" s="26">
        <f>B37*(1+C6)</f>
        <v>76.146528998789336</v>
      </c>
      <c r="C38" s="46">
        <f>$C$6/$C$22</f>
        <v>0.58539944903581265</v>
      </c>
      <c r="D38" s="2">
        <f t="shared" si="5"/>
        <v>0.25</v>
      </c>
      <c r="E38" s="26">
        <f>B38*(1-C38)*(1-D38)</f>
        <v>23.677794657681396</v>
      </c>
      <c r="H38">
        <v>6</v>
      </c>
      <c r="I38" s="27">
        <f>I37*(1+C6)</f>
        <v>38.073264499394668</v>
      </c>
      <c r="J38" s="46">
        <f>$C$6/$C$22</f>
        <v>0.58539944903581265</v>
      </c>
      <c r="K38" s="2">
        <f t="shared" si="7"/>
        <v>0.25</v>
      </c>
      <c r="L38" s="26">
        <f>I38*(1-J38)*(1-K38)</f>
        <v>11.838897328840698</v>
      </c>
      <c r="O38">
        <v>6</v>
      </c>
      <c r="P38" s="24"/>
      <c r="Q38" s="46"/>
      <c r="R38" s="2"/>
      <c r="S38" s="26"/>
    </row>
    <row r="39" spans="1:22" x14ac:dyDescent="0.3">
      <c r="A39" t="s">
        <v>38</v>
      </c>
      <c r="B39" s="28">
        <f>E38/(C22-C6)</f>
        <v>786.63769626848466</v>
      </c>
      <c r="H39" t="s">
        <v>38</v>
      </c>
      <c r="I39" s="27">
        <f>L38/(C22-C6)</f>
        <v>393.31884813424233</v>
      </c>
      <c r="O39" t="s">
        <v>38</v>
      </c>
      <c r="P39" s="27"/>
    </row>
    <row r="40" spans="1:22" x14ac:dyDescent="0.3">
      <c r="B40" s="28"/>
    </row>
    <row r="41" spans="1:22" x14ac:dyDescent="0.3">
      <c r="A41" t="s">
        <v>39</v>
      </c>
      <c r="B41" s="29">
        <f>SUM(F33:F37)</f>
        <v>57.224996035379512</v>
      </c>
      <c r="H41" t="s">
        <v>39</v>
      </c>
      <c r="I41" s="29">
        <f>SUM(M33:M37)</f>
        <v>28.612498017689756</v>
      </c>
      <c r="O41" t="s">
        <v>39</v>
      </c>
      <c r="P41" s="28"/>
      <c r="T41" s="28"/>
      <c r="U41" s="28"/>
    </row>
    <row r="42" spans="1:22" ht="15" thickBot="1" x14ac:dyDescent="0.35">
      <c r="A42" t="s">
        <v>40</v>
      </c>
      <c r="B42" s="30">
        <f>B39/(1+C22)^5</f>
        <v>554.09699024188251</v>
      </c>
      <c r="D42" s="25"/>
      <c r="E42" s="26"/>
      <c r="F42" s="26"/>
      <c r="H42" t="s">
        <v>40</v>
      </c>
      <c r="I42" s="28">
        <f>I39/(1+C22)^5</f>
        <v>277.04849512094125</v>
      </c>
      <c r="O42" t="s">
        <v>40</v>
      </c>
      <c r="P42" s="28"/>
      <c r="T42" s="28"/>
      <c r="U42" s="28"/>
      <c r="V42" s="12"/>
    </row>
    <row r="43" spans="1:22" ht="15" thickBot="1" x14ac:dyDescent="0.35">
      <c r="A43" t="s">
        <v>0</v>
      </c>
      <c r="B43" s="28">
        <f>SUM(B41:B42)</f>
        <v>611.321986277262</v>
      </c>
      <c r="H43" t="s">
        <v>0</v>
      </c>
      <c r="I43" s="28">
        <f>SUM(I41:I42)</f>
        <v>305.660993138631</v>
      </c>
      <c r="O43" t="s">
        <v>0</v>
      </c>
      <c r="P43" s="36"/>
      <c r="T43" s="36"/>
      <c r="U43" s="28" t="s">
        <v>52</v>
      </c>
    </row>
    <row r="45" spans="1:22" x14ac:dyDescent="0.3">
      <c r="B45" s="14"/>
      <c r="C45" s="14"/>
      <c r="D45" s="14"/>
      <c r="E45" s="14"/>
      <c r="G45" s="14"/>
      <c r="H45" s="14"/>
      <c r="I45" s="14"/>
      <c r="J45" s="14"/>
      <c r="L45" s="14"/>
      <c r="M45" s="14"/>
      <c r="N45" s="14"/>
      <c r="O45" s="14"/>
    </row>
    <row r="46" spans="1:22" x14ac:dyDescent="0.3">
      <c r="C46" s="6"/>
      <c r="D46" s="10"/>
      <c r="E46" s="10"/>
      <c r="F46" s="10"/>
      <c r="G46" s="10"/>
      <c r="H46" s="10"/>
      <c r="I46" s="10"/>
      <c r="J46" s="10"/>
      <c r="K46" s="10"/>
      <c r="L46" s="10"/>
      <c r="M46" s="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U 6 Q w W o Z U q H O k A A A A 9 g A A A B I A H A B D b 2 5 m a W c v U G F j a 2 F n Z S 5 4 b W w g o h g A K K A U A A A A A A A A A A A A A A A A A A A A A A A A A A A A h Y 9 N D o I w G E S v Q r q n P 2 C i k o + y c C u J C d G 4 b W q F R i i G F s v d X H g k r y B G U X c u 5 8 1 b z N y v N 8 i G p g 4 u q r O 6 N S l i m K J A G d k e t C l T 1 L t j u E A Z h 4 2 Q J 1 G q Y J S N T Q Z 7 S F H l 3 D k h x H u P f Y z b r i Q R p Y z s 8 3 U h K 9 U I 9 J H 1 f z n U x j p h p E I c d q 8 x P M I s n m E 2 X 2 I K Z I K Q a / M V o n H v s / 2 B s O p r 1 3 e K K x N u C y B T B P L + w B 9 Q S w M E F A A C A A g A U 6 Q w 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O k M F o o i k e 4 D g A A A B E A A A A T A B w A R m 9 y b X V s Y X M v U 2 V j d G l v b j E u b S C i G A A o o B Q A A A A A A A A A A A A A A A A A A A A A A A A A A A A r T k 0 u y c z P U w i G 0 I b W A F B L A Q I t A B Q A A g A I A F O k M F q G V K h z p A A A A P Y A A A A S A A A A A A A A A A A A A A A A A A A A A A B D b 2 5 m a W c v U G F j a 2 F n Z S 5 4 b W x Q S w E C L Q A U A A I A C A B T p D B a D 8 r p q 6 Q A A A D p A A A A E w A A A A A A A A A A A A A A A A D w A A A A W 0 N v b n R l b n R f V H l w Z X N d L n h t b F B L A Q I t A B Q A A g A I A F O k M 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Z e C 5 t R N K z S 7 q f X i P S p d w O A A A A A A I A A A A A A A N m A A D A A A A A E A A A A B 4 E q H O k D s N o H l i / O S K 9 3 D 4 A A A A A B I A A A K A A A A A Q A A A A Z s Q c X l h + + d s l H 0 j X v 2 O Y Y V A A A A A J r a 2 Q i 6 / U G Z X T A L g v c x 1 9 2 r g u E E p q 6 p y P z 6 L q w r V z i y t u l 9 D u 7 t J g J U N m 1 + H r + e J H A T U 6 e e 2 S L x y E / t 8 V j G J b Z g r j + m + j R N o u z v M v 6 C h n a x Q A A A B C t D b 1 q C E b b o B B u W v / b m j V H Q I 5 a 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56226BB-BA3C-4FC0-AE5D-463F700FB0E1}">
  <ds:schemaRefs>
    <ds:schemaRef ds:uri="http://schemas.microsoft.com/DataMashup"/>
  </ds:schemaRefs>
</ds:datastoreItem>
</file>

<file path=customXml/itemProps2.xml><?xml version="1.0" encoding="utf-8"?>
<ds:datastoreItem xmlns:ds="http://schemas.openxmlformats.org/officeDocument/2006/customXml" ds:itemID="{D896CE58-F0C0-416E-9F68-3C29900B5BD8}"/>
</file>

<file path=customXml/itemProps3.xml><?xml version="1.0" encoding="utf-8"?>
<ds:datastoreItem xmlns:ds="http://schemas.openxmlformats.org/officeDocument/2006/customXml" ds:itemID="{16E43F1C-42FC-4343-B3E6-A02D6DEBC703}"/>
</file>

<file path=customXml/itemProps4.xml><?xml version="1.0" encoding="utf-8"?>
<ds:datastoreItem xmlns:ds="http://schemas.openxmlformats.org/officeDocument/2006/customXml" ds:itemID="{2E9E3EDD-A98A-40F4-94AD-9F5FDA08A2E6}"/>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 </vt:lpstr>
      <vt:lpstr>Table of Contents</vt:lpstr>
      <vt:lpstr>Q1.1</vt:lpstr>
      <vt:lpstr>A1.1</vt:lpstr>
      <vt:lpstr>Q2.1</vt:lpstr>
      <vt:lpstr>A2.1</vt:lpstr>
      <vt:lpstr>Q3.1</vt:lpstr>
      <vt:lpstr>A3.1</vt:lpstr>
      <vt:lpstr>Q4.1</vt:lpstr>
      <vt:lpstr>A4.1</vt:lpstr>
      <vt:lpstr>Q5.1</vt:lpstr>
      <vt:lpstr>A5.1</vt:lpstr>
      <vt:lpstr>Q6.1</vt:lpstr>
      <vt:lpstr>A6.1</vt:lpstr>
      <vt:lpstr>Q7.1</vt:lpstr>
      <vt:lpstr>A7.1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Collins</dc:creator>
  <cp:lastModifiedBy>Douglas Norris</cp:lastModifiedBy>
  <dcterms:created xsi:type="dcterms:W3CDTF">2015-06-05T18:17:20Z</dcterms:created>
  <dcterms:modified xsi:type="dcterms:W3CDTF">2025-06-25T21:32:09Z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0x010100F6AE639BB4E74542A43DE6E767DBCE18</vt:lpwstr>
  </property>
</Properties>
</file>