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138" documentId="13_ncr:1_{F71B4EDB-6528-4824-99AE-1E202F51E051}" xr6:coauthVersionLast="47" xr6:coauthVersionMax="47" xr10:uidLastSave="{D48DBD3E-C39A-44AA-ADBB-79E937BAB79F}"/>
  <bookViews>
    <workbookView xWindow="28680" yWindow="-120" windowWidth="38640" windowHeight="21120" xr2:uid="{00000000-000D-0000-FFFF-FFFF00000000}"/>
  </bookViews>
  <sheets>
    <sheet name="Cover " sheetId="20" r:id="rId1"/>
    <sheet name="Q1 RET301-100-25 1a" sheetId="11" r:id="rId2"/>
    <sheet name="A1" sheetId="2" r:id="rId3"/>
    <sheet name="Q2 Task Force Mort 1a 1b 1c" sheetId="12" r:id="rId4"/>
    <sheet name="A2" sheetId="3" r:id="rId5"/>
    <sheet name="Q3 Discount Rates 1a 1b" sheetId="13" r:id="rId6"/>
    <sheet name="A3" sheetId="4" r:id="rId7"/>
    <sheet name="Q4 Discount Rates 1a 1b" sheetId="14" r:id="rId8"/>
    <sheet name="A4" sheetId="5" r:id="rId9"/>
    <sheet name="Q5 Incremental Cost 2a 2c" sheetId="15" r:id="rId10"/>
    <sheet name="A5" sheetId="6" r:id="rId11"/>
    <sheet name="Q6 Plaus Adv Scen 2a-2d" sheetId="16" r:id="rId12"/>
    <sheet name="A6" sheetId="7" r:id="rId13"/>
    <sheet name="Q7 Plaus Adv Scen 2a-2d" sheetId="17" r:id="rId14"/>
    <sheet name="A7" sheetId="8" r:id="rId15"/>
  </sheets>
  <externalReferences>
    <externalReference r:id="rId16"/>
    <externalReference r:id="rId17"/>
  </externalReferences>
  <definedNames>
    <definedName name="Allocations">#REF!</definedName>
    <definedName name="CPM">#REF!</definedName>
    <definedName name="MI">#REF!</definedName>
    <definedName name="Non_Fac">'[2]User Input'!$C$74</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9xIq6DM4bBg+zszZxWFWt9mlV4fdYKKgq7YQK2Uqx5Q="/>
    </ext>
  </extLst>
</workbook>
</file>

<file path=xl/calcChain.xml><?xml version="1.0" encoding="utf-8"?>
<calcChain xmlns="http://schemas.openxmlformats.org/spreadsheetml/2006/main">
  <c r="B24" i="16" l="1"/>
  <c r="B18" i="16"/>
  <c r="B19" i="13"/>
  <c r="A14" i="12"/>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C49" i="8"/>
  <c r="D49" i="8" s="1"/>
  <c r="B48" i="8"/>
  <c r="D46" i="8"/>
  <c r="B39" i="8"/>
  <c r="B36" i="8"/>
  <c r="B37" i="8" s="1"/>
  <c r="B38" i="8" s="1"/>
  <c r="B28" i="8"/>
  <c r="B27" i="8"/>
  <c r="B30" i="8" s="1"/>
  <c r="B31" i="8" s="1"/>
  <c r="B32" i="8" s="1"/>
  <c r="D69" i="7"/>
  <c r="B68" i="7"/>
  <c r="D67" i="7"/>
  <c r="E66" i="7"/>
  <c r="B42" i="7"/>
  <c r="B43" i="7" s="1"/>
  <c r="B44" i="7" s="1"/>
  <c r="C69" i="7" s="1"/>
  <c r="B37" i="7"/>
  <c r="B38" i="7" s="1"/>
  <c r="B39" i="7" s="1"/>
  <c r="C67" i="7" s="1"/>
  <c r="B32" i="7"/>
  <c r="B33" i="7" s="1"/>
  <c r="B34" i="7" s="1"/>
  <c r="C66" i="7" s="1"/>
  <c r="B18" i="7"/>
  <c r="B12" i="7"/>
  <c r="H58" i="6"/>
  <c r="G58" i="6"/>
  <c r="G59" i="6" s="1"/>
  <c r="G60" i="6" s="1"/>
  <c r="G61" i="6" s="1"/>
  <c r="G62" i="6" s="1"/>
  <c r="G63" i="6" s="1"/>
  <c r="G64" i="6" s="1"/>
  <c r="G65" i="6" s="1"/>
  <c r="G66" i="6" s="1"/>
  <c r="G67" i="6" s="1"/>
  <c r="I57" i="6"/>
  <c r="J53" i="6"/>
  <c r="J52" i="6"/>
  <c r="J51" i="6"/>
  <c r="J50" i="6"/>
  <c r="J49" i="6"/>
  <c r="J48" i="6"/>
  <c r="J47" i="6"/>
  <c r="J46" i="6"/>
  <c r="J45" i="6"/>
  <c r="J44" i="6"/>
  <c r="G44" i="6"/>
  <c r="G45" i="6" s="1"/>
  <c r="G46" i="6" s="1"/>
  <c r="J43" i="6"/>
  <c r="H43" i="6"/>
  <c r="I23" i="6"/>
  <c r="H23" i="6"/>
  <c r="H22" i="6"/>
  <c r="I43" i="6" s="1"/>
  <c r="I21" i="6"/>
  <c r="I24" i="6" s="1"/>
  <c r="I32" i="6" s="1"/>
  <c r="H21" i="6"/>
  <c r="I12" i="6"/>
  <c r="I13" i="6" s="1"/>
  <c r="H12" i="6"/>
  <c r="H13" i="6" s="1"/>
  <c r="I10" i="6"/>
  <c r="I11" i="6" s="1"/>
  <c r="I17" i="6" s="1"/>
  <c r="H10" i="6"/>
  <c r="H11" i="6" s="1"/>
  <c r="H17" i="6" s="1"/>
  <c r="I9" i="6"/>
  <c r="I22" i="6" s="1"/>
  <c r="I28" i="6" s="1"/>
  <c r="H9" i="6"/>
  <c r="B32" i="5"/>
  <c r="B31" i="5"/>
  <c r="B28" i="5"/>
  <c r="B29" i="5" s="1"/>
  <c r="B23" i="5"/>
  <c r="B22" i="5"/>
  <c r="B21" i="5"/>
  <c r="B20" i="5"/>
  <c r="B19" i="5"/>
  <c r="B66" i="4"/>
  <c r="B65" i="4"/>
  <c r="B61" i="4"/>
  <c r="B60" i="4"/>
  <c r="B59" i="4"/>
  <c r="B55" i="4"/>
  <c r="B51" i="4"/>
  <c r="B50" i="4"/>
  <c r="B49" i="4"/>
  <c r="B48" i="4"/>
  <c r="B47" i="4"/>
  <c r="B46" i="4"/>
  <c r="B41" i="4"/>
  <c r="B40" i="4"/>
  <c r="B12" i="4"/>
  <c r="D91" i="3"/>
  <c r="C91" i="3"/>
  <c r="B91" i="3"/>
  <c r="D90" i="3"/>
  <c r="C90" i="3"/>
  <c r="B90" i="3"/>
  <c r="D89" i="3"/>
  <c r="C89" i="3"/>
  <c r="B89" i="3"/>
  <c r="D88" i="3"/>
  <c r="C88" i="3"/>
  <c r="B88" i="3"/>
  <c r="D87" i="3"/>
  <c r="C87" i="3"/>
  <c r="B87" i="3"/>
  <c r="D86" i="3"/>
  <c r="C86" i="3"/>
  <c r="B86" i="3"/>
  <c r="D85" i="3"/>
  <c r="C85" i="3"/>
  <c r="B85" i="3"/>
  <c r="D84" i="3"/>
  <c r="C84" i="3"/>
  <c r="B84" i="3"/>
  <c r="D83" i="3"/>
  <c r="C83" i="3"/>
  <c r="B83" i="3"/>
  <c r="D82" i="3"/>
  <c r="C82" i="3"/>
  <c r="B82" i="3"/>
  <c r="D81" i="3"/>
  <c r="C81" i="3"/>
  <c r="B81" i="3"/>
  <c r="D80" i="3"/>
  <c r="C80" i="3"/>
  <c r="B80" i="3"/>
  <c r="D79" i="3"/>
  <c r="C79" i="3"/>
  <c r="B79" i="3"/>
  <c r="D78" i="3"/>
  <c r="C78" i="3"/>
  <c r="B78" i="3"/>
  <c r="D77" i="3"/>
  <c r="C77" i="3"/>
  <c r="B77" i="3"/>
  <c r="D76" i="3"/>
  <c r="C76" i="3"/>
  <c r="B76" i="3"/>
  <c r="D75" i="3"/>
  <c r="C75" i="3"/>
  <c r="B75" i="3"/>
  <c r="D74" i="3"/>
  <c r="C74" i="3"/>
  <c r="B74" i="3"/>
  <c r="D73" i="3"/>
  <c r="C73" i="3"/>
  <c r="B73" i="3"/>
  <c r="D72" i="3"/>
  <c r="C72" i="3"/>
  <c r="B72" i="3"/>
  <c r="D71" i="3"/>
  <c r="C71" i="3"/>
  <c r="B71" i="3"/>
  <c r="D70" i="3"/>
  <c r="C70" i="3"/>
  <c r="B70" i="3"/>
  <c r="D69" i="3"/>
  <c r="C69" i="3"/>
  <c r="B69" i="3"/>
  <c r="D68" i="3"/>
  <c r="C68" i="3"/>
  <c r="B68" i="3"/>
  <c r="D67" i="3"/>
  <c r="C67" i="3"/>
  <c r="B67" i="3"/>
  <c r="D66" i="3"/>
  <c r="C66" i="3"/>
  <c r="B66" i="3"/>
  <c r="D65" i="3"/>
  <c r="C65" i="3"/>
  <c r="B65" i="3"/>
  <c r="D64" i="3"/>
  <c r="C64" i="3"/>
  <c r="B64" i="3"/>
  <c r="D63" i="3"/>
  <c r="C63" i="3"/>
  <c r="B63" i="3"/>
  <c r="D62" i="3"/>
  <c r="C62" i="3"/>
  <c r="B62" i="3"/>
  <c r="D61" i="3"/>
  <c r="C61" i="3"/>
  <c r="B61" i="3"/>
  <c r="D60" i="3"/>
  <c r="C60" i="3"/>
  <c r="B60" i="3"/>
  <c r="D59" i="3"/>
  <c r="C59" i="3"/>
  <c r="B59" i="3"/>
  <c r="D58" i="3"/>
  <c r="C58" i="3"/>
  <c r="B58" i="3"/>
  <c r="D57" i="3"/>
  <c r="C57" i="3"/>
  <c r="B57" i="3"/>
  <c r="D56" i="3"/>
  <c r="C56" i="3"/>
  <c r="B56" i="3"/>
  <c r="D55" i="3"/>
  <c r="C55" i="3"/>
  <c r="B55" i="3"/>
  <c r="D54" i="3"/>
  <c r="C54" i="3"/>
  <c r="B54" i="3"/>
  <c r="A54" i="3"/>
  <c r="A55" i="3" s="1"/>
  <c r="A56" i="3" s="1"/>
  <c r="A57" i="3" s="1"/>
  <c r="A58" i="3" s="1"/>
  <c r="A59" i="3" s="1"/>
  <c r="A60" i="3" s="1"/>
  <c r="A61" i="3" s="1"/>
  <c r="A62" i="3" s="1"/>
  <c r="A63" i="3" s="1"/>
  <c r="A64" i="3" s="1"/>
  <c r="D53" i="3"/>
  <c r="C53" i="3"/>
  <c r="B53" i="3"/>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E25" i="2"/>
  <c r="B52" i="4" l="1"/>
  <c r="B24" i="5"/>
  <c r="B26" i="5" s="1"/>
  <c r="B33" i="5" s="1"/>
  <c r="B34" i="5" s="1"/>
  <c r="B40" i="8"/>
  <c r="B41" i="8" s="1"/>
  <c r="C47" i="8" s="1"/>
  <c r="D47" i="8" s="1"/>
  <c r="D48" i="8" s="1"/>
  <c r="B29" i="8"/>
  <c r="C68" i="7"/>
  <c r="B54" i="7"/>
  <c r="B55" i="7" s="1"/>
  <c r="B56" i="7" s="1"/>
  <c r="E67" i="7" s="1"/>
  <c r="E68" i="7" s="1"/>
  <c r="I58" i="6"/>
  <c r="I14" i="6"/>
  <c r="H24" i="6"/>
  <c r="K43" i="6" s="1"/>
  <c r="H32" i="6" s="1"/>
  <c r="H25" i="6"/>
  <c r="H27" i="6" s="1"/>
  <c r="H14" i="6"/>
  <c r="H59" i="6"/>
  <c r="H60" i="6" s="1"/>
  <c r="H61" i="6" s="1"/>
  <c r="B67" i="4"/>
  <c r="B62" i="4"/>
  <c r="B42" i="4"/>
  <c r="E91" i="3"/>
  <c r="F91" i="3" s="1"/>
  <c r="E85" i="3"/>
  <c r="F85" i="3" s="1"/>
  <c r="E57" i="3"/>
  <c r="F57" i="3" s="1"/>
  <c r="G57" i="3" s="1"/>
  <c r="E59" i="3"/>
  <c r="F59" i="3" s="1"/>
  <c r="G59" i="3" s="1"/>
  <c r="E58" i="3"/>
  <c r="F58" i="3" s="1"/>
  <c r="G58" i="3" s="1"/>
  <c r="E66" i="3"/>
  <c r="F66" i="3" s="1"/>
  <c r="E78" i="3"/>
  <c r="F78" i="3" s="1"/>
  <c r="E86" i="3"/>
  <c r="F86" i="3" s="1"/>
  <c r="E90" i="3"/>
  <c r="F90" i="3" s="1"/>
  <c r="E63" i="3"/>
  <c r="F63" i="3" s="1"/>
  <c r="G63" i="3" s="1"/>
  <c r="E56" i="3"/>
  <c r="F56" i="3" s="1"/>
  <c r="G56" i="3" s="1"/>
  <c r="E72" i="3"/>
  <c r="F72" i="3" s="1"/>
  <c r="E89" i="3"/>
  <c r="F89" i="3" s="1"/>
  <c r="E79" i="3"/>
  <c r="F79" i="3" s="1"/>
  <c r="E83" i="3"/>
  <c r="F83" i="3" s="1"/>
  <c r="E54" i="3"/>
  <c r="F54" i="3" s="1"/>
  <c r="G54" i="3" s="1"/>
  <c r="E76" i="3"/>
  <c r="F76" i="3" s="1"/>
  <c r="E84" i="3"/>
  <c r="F84" i="3" s="1"/>
  <c r="E61" i="3"/>
  <c r="F61" i="3" s="1"/>
  <c r="G61" i="3" s="1"/>
  <c r="E65" i="3"/>
  <c r="F65" i="3" s="1"/>
  <c r="E77" i="3"/>
  <c r="F77" i="3" s="1"/>
  <c r="E80" i="3"/>
  <c r="F80" i="3" s="1"/>
  <c r="E73" i="3"/>
  <c r="F73" i="3" s="1"/>
  <c r="E88" i="3"/>
  <c r="F88" i="3" s="1"/>
  <c r="E75" i="3"/>
  <c r="F75" i="3" s="1"/>
  <c r="E68" i="3"/>
  <c r="F68" i="3" s="1"/>
  <c r="E55" i="3"/>
  <c r="F55" i="3" s="1"/>
  <c r="G55" i="3" s="1"/>
  <c r="E69" i="3"/>
  <c r="F69" i="3" s="1"/>
  <c r="E53" i="3"/>
  <c r="F53" i="3" s="1"/>
  <c r="G53" i="3" s="1"/>
  <c r="E62" i="3"/>
  <c r="F62" i="3" s="1"/>
  <c r="G62" i="3" s="1"/>
  <c r="E64" i="3"/>
  <c r="F64" i="3" s="1"/>
  <c r="G64" i="3" s="1"/>
  <c r="E70" i="3"/>
  <c r="F70" i="3" s="1"/>
  <c r="E81" i="3"/>
  <c r="F81" i="3" s="1"/>
  <c r="E60" i="3"/>
  <c r="F60" i="3" s="1"/>
  <c r="G60" i="3" s="1"/>
  <c r="E74" i="3"/>
  <c r="F74" i="3" s="1"/>
  <c r="E67" i="3"/>
  <c r="F67" i="3" s="1"/>
  <c r="E71" i="3"/>
  <c r="F71" i="3" s="1"/>
  <c r="E82" i="3"/>
  <c r="F82" i="3" s="1"/>
  <c r="A65" i="3"/>
  <c r="A66" i="3" s="1"/>
  <c r="A67" i="3" s="1"/>
  <c r="A68" i="3" s="1"/>
  <c r="A69" i="3" s="1"/>
  <c r="A70" i="3" s="1"/>
  <c r="A71" i="3" s="1"/>
  <c r="A72" i="3" s="1"/>
  <c r="A73" i="3" s="1"/>
  <c r="A74" i="3" s="1"/>
  <c r="A75" i="3" s="1"/>
  <c r="A76" i="3" s="1"/>
  <c r="B71" i="4"/>
  <c r="B72" i="4" s="1"/>
  <c r="B73" i="4" s="1"/>
  <c r="B74" i="4" s="1"/>
  <c r="E87" i="3"/>
  <c r="F87" i="3" s="1"/>
  <c r="G68" i="6"/>
  <c r="G69" i="6" s="1"/>
  <c r="G70" i="6" s="1"/>
  <c r="G71" i="6" s="1"/>
  <c r="G72" i="6" s="1"/>
  <c r="G73" i="6" s="1"/>
  <c r="G74" i="6" s="1"/>
  <c r="G75" i="6" s="1"/>
  <c r="G76" i="6" s="1"/>
  <c r="H28" i="6"/>
  <c r="G47" i="6"/>
  <c r="G48" i="6" s="1"/>
  <c r="I46" i="6"/>
  <c r="B33" i="8"/>
  <c r="C46" i="8" s="1"/>
  <c r="C48" i="8" s="1"/>
  <c r="I33" i="6"/>
  <c r="I34" i="6" s="1"/>
  <c r="I35" i="6" s="1"/>
  <c r="I37" i="6" s="1"/>
  <c r="I44" i="6"/>
  <c r="B48" i="7"/>
  <c r="B49" i="7" s="1"/>
  <c r="B50" i="7" s="1"/>
  <c r="D66" i="7" s="1"/>
  <c r="D68" i="7" s="1"/>
  <c r="I25" i="6"/>
  <c r="I45" i="6"/>
  <c r="B58" i="7"/>
  <c r="B59" i="7" s="1"/>
  <c r="B60" i="7" s="1"/>
  <c r="E69" i="7" s="1"/>
  <c r="K45" i="6" l="1"/>
  <c r="I60" i="6"/>
  <c r="I59" i="6"/>
  <c r="K46" i="6"/>
  <c r="H26" i="6"/>
  <c r="K44" i="6"/>
  <c r="H33" i="6" s="1"/>
  <c r="H34" i="6" s="1"/>
  <c r="H35" i="6" s="1"/>
  <c r="H37" i="6" s="1"/>
  <c r="G70" i="3"/>
  <c r="G67" i="3"/>
  <c r="G68" i="3"/>
  <c r="G69" i="3"/>
  <c r="G74" i="3"/>
  <c r="G75" i="3"/>
  <c r="G71" i="3"/>
  <c r="G65" i="3"/>
  <c r="G66" i="3"/>
  <c r="G72" i="3"/>
  <c r="G73" i="3"/>
  <c r="I47" i="6"/>
  <c r="K47" i="6" s="1"/>
  <c r="I27" i="6"/>
  <c r="I26" i="6"/>
  <c r="G49" i="6"/>
  <c r="I48" i="6"/>
  <c r="K48" i="6" s="1"/>
  <c r="H62" i="6"/>
  <c r="I61" i="6"/>
  <c r="A77" i="3"/>
  <c r="G76" i="3"/>
  <c r="G50" i="6" l="1"/>
  <c r="I49" i="6"/>
  <c r="K49" i="6" s="1"/>
  <c r="H63" i="6"/>
  <c r="I62" i="6"/>
  <c r="A78" i="3"/>
  <c r="G77" i="3"/>
  <c r="H64" i="6" l="1"/>
  <c r="I63" i="6"/>
  <c r="A79" i="3"/>
  <c r="G78" i="3"/>
  <c r="G51" i="6"/>
  <c r="I50" i="6"/>
  <c r="K50" i="6" s="1"/>
  <c r="G52" i="6" l="1"/>
  <c r="I51" i="6"/>
  <c r="K51" i="6" s="1"/>
  <c r="H65" i="6"/>
  <c r="I64" i="6"/>
  <c r="A80" i="3"/>
  <c r="G79" i="3"/>
  <c r="H66" i="6" l="1"/>
  <c r="I65" i="6"/>
  <c r="A81" i="3"/>
  <c r="G80" i="3"/>
  <c r="G53" i="6"/>
  <c r="I53" i="6" s="1"/>
  <c r="K53" i="6" s="1"/>
  <c r="I52" i="6"/>
  <c r="K52" i="6" s="1"/>
  <c r="H67" i="6" l="1"/>
  <c r="I66" i="6"/>
  <c r="A82" i="3"/>
  <c r="G81" i="3"/>
  <c r="H68" i="6" l="1"/>
  <c r="I67" i="6"/>
  <c r="A83" i="3"/>
  <c r="G82" i="3"/>
  <c r="H69" i="6" l="1"/>
  <c r="I68" i="6"/>
  <c r="A84" i="3"/>
  <c r="G83" i="3"/>
  <c r="A85" i="3" l="1"/>
  <c r="G84" i="3"/>
  <c r="H70" i="6"/>
  <c r="I69" i="6"/>
  <c r="H71" i="6" l="1"/>
  <c r="I70" i="6"/>
  <c r="A86" i="3"/>
  <c r="G85" i="3"/>
  <c r="H72" i="6" l="1"/>
  <c r="I71" i="6"/>
  <c r="A87" i="3"/>
  <c r="G86" i="3"/>
  <c r="A88" i="3" l="1"/>
  <c r="G87" i="3"/>
  <c r="H73" i="6"/>
  <c r="I72" i="6"/>
  <c r="H74" i="6" l="1"/>
  <c r="I73" i="6"/>
  <c r="A89" i="3"/>
  <c r="G88" i="3"/>
  <c r="H75" i="6" l="1"/>
  <c r="I74" i="6"/>
  <c r="A90" i="3"/>
  <c r="G89" i="3"/>
  <c r="A91" i="3" l="1"/>
  <c r="G91" i="3" s="1"/>
  <c r="G90" i="3"/>
  <c r="H76" i="6"/>
  <c r="I76" i="6" s="1"/>
  <c r="I75" i="6"/>
</calcChain>
</file>

<file path=xl/sharedStrings.xml><?xml version="1.0" encoding="utf-8"?>
<sst xmlns="http://schemas.openxmlformats.org/spreadsheetml/2006/main" count="506" uniqueCount="287">
  <si>
    <t xml:space="preserve">You are an external consultant. </t>
  </si>
  <si>
    <t>Age</t>
  </si>
  <si>
    <t>Determination of the solvency liability adjustment</t>
  </si>
  <si>
    <t>You are an external consultant</t>
  </si>
  <si>
    <t>Your client is preparing the June 30, 2024 actuarial valuation for their defined benefit plan.</t>
  </si>
  <si>
    <t>The plan has a liability duration of 7.7 years, which falls within the typical medium-duration range of 5.7 to 9.7 years.</t>
  </si>
  <si>
    <t>The client intends to settle plan liabilities through the purchase of annuities.</t>
  </si>
  <si>
    <t>They know when calculating solvency liabilities for a defined benefit pension plan, an interest rate adjustment is required if annuity purchase is assumed.</t>
  </si>
  <si>
    <t>To assist with the valuation, you have compiled relevant interest rate data for the past five years, including:</t>
  </si>
  <si>
    <t>V39062</t>
  </si>
  <si>
    <t>Low duration</t>
  </si>
  <si>
    <t>Medium duration</t>
  </si>
  <si>
    <t>High duration</t>
  </si>
  <si>
    <t>Mortality adjustment</t>
  </si>
  <si>
    <t>160bps</t>
  </si>
  <si>
    <t>150bps</t>
  </si>
  <si>
    <t>140bps</t>
  </si>
  <si>
    <t>180bps</t>
  </si>
  <si>
    <t>170bps</t>
  </si>
  <si>
    <t>63bp</t>
  </si>
  <si>
    <t>130bps</t>
  </si>
  <si>
    <t>120bps</t>
  </si>
  <si>
    <t>110bps</t>
  </si>
  <si>
    <t>Interest spread adjustment</t>
  </si>
  <si>
    <t>Annuity Proxy</t>
  </si>
  <si>
    <t>n/a</t>
  </si>
  <si>
    <t>Taskforce Report on Mortality Improvement, CIA Final Report, September 2017</t>
  </si>
  <si>
    <t>The client has provided actual mortality data collected over the past three years and are interested in incorporating this experience into the upcoming actuarial valuation.</t>
  </si>
  <si>
    <t>Number of members (2022)</t>
  </si>
  <si>
    <t>Number of members (2023)</t>
  </si>
  <si>
    <t>Number of members (2024)</t>
  </si>
  <si>
    <t>Number of deaths (2022)</t>
  </si>
  <si>
    <t>Number of deaths(2023)</t>
  </si>
  <si>
    <t>Number of deaths(2024)</t>
  </si>
  <si>
    <t>Standard Mortality rates</t>
  </si>
  <si>
    <t>After reviewing the data, you determined it is appropriate to use the plan’s actual experience.</t>
  </si>
  <si>
    <t>--Assumed credibility to actual experience</t>
  </si>
  <si>
    <t xml:space="preserve">--Assumed mortality improvement per year </t>
  </si>
  <si>
    <t>Actual mortality (2022)</t>
  </si>
  <si>
    <t>Actual mortality (2023)</t>
  </si>
  <si>
    <t>Actual mortality (2024)</t>
  </si>
  <si>
    <t>Average actual mortality</t>
  </si>
  <si>
    <t>Base mortality rate</t>
  </si>
  <si>
    <t>Mortality improved rates</t>
  </si>
  <si>
    <t>Determination of best estimate discount rate for going concern funding valuation</t>
  </si>
  <si>
    <t>Your long-term client is finalizing the assumptions for the going concern valuation for its defined benefit pension plan.</t>
  </si>
  <si>
    <t>The internal actuary has proposed a discount rate assumption, but before it is finalized, the Finance Director has requested an independent review to validate its reasonableness.</t>
  </si>
  <si>
    <t xml:space="preserve">The Finance Director has reached out to you for assistance. </t>
  </si>
  <si>
    <t>As part of your review, you are asked to use the building block method to independently estimate a suitable discount rate.</t>
  </si>
  <si>
    <t>You have been provided with target asset mix and risk premia details.</t>
  </si>
  <si>
    <t>Target Asset Mix</t>
  </si>
  <si>
    <t xml:space="preserve">Canadian corporate certificate of deposits </t>
  </si>
  <si>
    <t>Foreign developed and developing countries short-term bonds (subject to trading before maturity)</t>
  </si>
  <si>
    <t>Long-term Gov't of Canada bonds (Hold to maturity)</t>
  </si>
  <si>
    <t>US, EU and emerging market equities</t>
  </si>
  <si>
    <t>Private equities</t>
  </si>
  <si>
    <t>Risk Premia</t>
  </si>
  <si>
    <t xml:space="preserve">Bond liquidity risk </t>
  </si>
  <si>
    <t>Interest rate risk</t>
  </si>
  <si>
    <t>Sovereign risk</t>
  </si>
  <si>
    <t>Currency risk</t>
  </si>
  <si>
    <t>Market risk</t>
  </si>
  <si>
    <t>Liquidity risk for illiquid asset class</t>
  </si>
  <si>
    <t>Information asymmetry risk</t>
  </si>
  <si>
    <t>Credit/Default risk</t>
  </si>
  <si>
    <t>Inflation risk</t>
  </si>
  <si>
    <t>Reinvestment risk</t>
  </si>
  <si>
    <t>The Finance Director also shares with you key assumptions:</t>
  </si>
  <si>
    <t>--The plan maintains a policy of periodic asset rebalancing to keep the target asset mix aligned.</t>
  </si>
  <si>
    <t>--The sponsor does not expect to earn any meaningful return from active investment management, net of fees.</t>
  </si>
  <si>
    <t>--Non-investment-related expenses are not paid from pension assets.</t>
  </si>
  <si>
    <t>--You can assume that the risk premia are mutually independent.</t>
  </si>
  <si>
    <t>Drawing on your long-standing familiarity with this sponsor, you have also made a few key assumptions:</t>
  </si>
  <si>
    <t>Expected long-term real return</t>
  </si>
  <si>
    <t>Value added return from active management</t>
  </si>
  <si>
    <t>Rebalancing and diversification effect</t>
  </si>
  <si>
    <t>Provision for explicit investment expenses</t>
  </si>
  <si>
    <t>Margin for adverse deviation</t>
  </si>
  <si>
    <t>Canadian corporate certificate of deposit:</t>
  </si>
  <si>
    <t>Short-term bonds in foreign (developed and developing) markets; for trading before maturity</t>
  </si>
  <si>
    <t>Bond liquidity risk</t>
  </si>
  <si>
    <t>Gov't of Canada bonds; Hold to maturity</t>
  </si>
  <si>
    <t>Canadian Private equities</t>
  </si>
  <si>
    <t>Weighted average risk premia</t>
  </si>
  <si>
    <t>Estimated return on plan assets</t>
  </si>
  <si>
    <t>Adjusted estimated return on plan assets</t>
  </si>
  <si>
    <t>Rounded best estimate discount rate</t>
  </si>
  <si>
    <t>You are an external consultant.</t>
  </si>
  <si>
    <t>Your client is preparing the going concern valuation for their defined benefit pension plan.</t>
  </si>
  <si>
    <t>To support this process, they are reviewing the discount rate assumption to ensure it is appropriate and justifiable.</t>
  </si>
  <si>
    <t>As part of their governance process, they want to apply the building block method to determine a best estimate discount rate for funding purposes.</t>
  </si>
  <si>
    <t>They have asked you to assist with this determination.</t>
  </si>
  <si>
    <t>You are informed that the plan maintains periodic asset rebalancing to stay aligned with the stated target asset mix.</t>
  </si>
  <si>
    <t>The sponsor expects to earn an excess return of 0.5% from active investment management, net of management fees.</t>
  </si>
  <si>
    <t>In addition, the sponsor anticipates an extra 0.15% return from investment diversification.</t>
  </si>
  <si>
    <t>Non-investment-related plan expenses are paid directly from plan assets, and are estimated at 0.2% of assets.</t>
  </si>
  <si>
    <t>You are also told that equities, real estate, and infrastructure are actively managed, while other assets are passively managed.</t>
  </si>
  <si>
    <t>The client believes a long-term real return of 2.0% is appropriate as the foundation for the estimate.</t>
  </si>
  <si>
    <t>You are provided with the plan’s target asset allocation and the associated risk premia for each asset class.</t>
  </si>
  <si>
    <t>Asset class</t>
  </si>
  <si>
    <t>Allocation</t>
  </si>
  <si>
    <t>Risk premia</t>
  </si>
  <si>
    <t>Bonds</t>
  </si>
  <si>
    <t>Equities</t>
  </si>
  <si>
    <t>Real Estate</t>
  </si>
  <si>
    <t>Infrastructure</t>
  </si>
  <si>
    <t>Cash</t>
  </si>
  <si>
    <t>Expected risk premia</t>
  </si>
  <si>
    <t>Weighted risk premia</t>
  </si>
  <si>
    <t>Long-term real return</t>
  </si>
  <si>
    <t>Preliminary discount rate</t>
  </si>
  <si>
    <t>Asset allocation under active management</t>
  </si>
  <si>
    <t>Expected excess return from active management</t>
  </si>
  <si>
    <t>From diversification and rebalancing</t>
  </si>
  <si>
    <t xml:space="preserve">Non-investment fees </t>
  </si>
  <si>
    <t>Estimated discount rate</t>
  </si>
  <si>
    <t>Rounded discount rate</t>
  </si>
  <si>
    <t>Calculation of incremental cost on a hypothetical wind-up or solvency basis, CIA education note, April 2023</t>
  </si>
  <si>
    <t>As at January 1, 2024</t>
  </si>
  <si>
    <t>As part of this process, they want to understand the cost of benefits earned during the past year.</t>
  </si>
  <si>
    <t>Member A</t>
  </si>
  <si>
    <t>Member B</t>
  </si>
  <si>
    <t>Specifically, they are asking you to calculate the incremental cost on a solvency basis.</t>
  </si>
  <si>
    <t>This will help them evaluate the impact of new benefit accruals on the plan's solvency position.</t>
  </si>
  <si>
    <t>FAE5</t>
  </si>
  <si>
    <t>Accrued pension</t>
  </si>
  <si>
    <t>Age + service</t>
  </si>
  <si>
    <t>They have provided the plan's key provisions and member-specific data as of January 1, 2024</t>
  </si>
  <si>
    <t>At or above 55 points (Grow-in)</t>
  </si>
  <si>
    <t>Plan Provisions</t>
  </si>
  <si>
    <t>Over 75 points?</t>
  </si>
  <si>
    <t>Pension formula:</t>
  </si>
  <si>
    <t>2% FAE5</t>
  </si>
  <si>
    <t>Assumed retirement age</t>
  </si>
  <si>
    <t>Normal retirement age:</t>
  </si>
  <si>
    <t>Settlement vehicle</t>
  </si>
  <si>
    <t>Lump sum</t>
  </si>
  <si>
    <t>Annuity</t>
  </si>
  <si>
    <t>Early unreduced age+service points</t>
  </si>
  <si>
    <t>Solvency liabilities</t>
  </si>
  <si>
    <t>Early retirement reduction per year</t>
  </si>
  <si>
    <t>Estimated for January 1, 2025</t>
  </si>
  <si>
    <t>Membership data as of January 1, 2024</t>
  </si>
  <si>
    <t>FAE 5</t>
  </si>
  <si>
    <t xml:space="preserve">Age: </t>
  </si>
  <si>
    <t>Estimated age</t>
  </si>
  <si>
    <t>Accrued service years</t>
  </si>
  <si>
    <t>Estimated service years</t>
  </si>
  <si>
    <t>Pensionable salary in 2023</t>
  </si>
  <si>
    <t>Estimated accrued pension</t>
  </si>
  <si>
    <t>Pensionable salary in 2022</t>
  </si>
  <si>
    <t>Pensionable salary in 2020</t>
  </si>
  <si>
    <t>Pensionable salary in 2019</t>
  </si>
  <si>
    <t>Over &gt;75 points?</t>
  </si>
  <si>
    <t>Pensionable salary in 2018</t>
  </si>
  <si>
    <t>Earliest unreduced age*</t>
  </si>
  <si>
    <t>As the actuary, you have determined the solvency assumptions:</t>
  </si>
  <si>
    <t>Solvency assumptions</t>
  </si>
  <si>
    <t>Interest rate for annuity purchase</t>
  </si>
  <si>
    <t>Maximum PV**</t>
  </si>
  <si>
    <t>Interest rate for lump sum</t>
  </si>
  <si>
    <t>5% for 10 years, 5% thereafter</t>
  </si>
  <si>
    <t>PV at earliest unreduced age**</t>
  </si>
  <si>
    <t>Salary scale</t>
  </si>
  <si>
    <t>Estimated solvency liability at January 1, 2025</t>
  </si>
  <si>
    <t>Pre-retirement decrements</t>
  </si>
  <si>
    <t>No</t>
  </si>
  <si>
    <t>Discounted back to January 1, 2024</t>
  </si>
  <si>
    <t>Incremental cost</t>
  </si>
  <si>
    <t>The following is the actuarial factors:</t>
  </si>
  <si>
    <t>Immediate Single Life Annuity Factors</t>
  </si>
  <si>
    <t>**Member A: Optimal retirement age for Member A at January 1, 2025</t>
  </si>
  <si>
    <t>Discount Rate</t>
  </si>
  <si>
    <t>Retirement age</t>
  </si>
  <si>
    <t>Pension reduction</t>
  </si>
  <si>
    <t>Deferral</t>
  </si>
  <si>
    <t>Immediate annuity</t>
  </si>
  <si>
    <t>PV</t>
  </si>
  <si>
    <t>*Earliest unreduced age</t>
  </si>
  <si>
    <t>Service</t>
  </si>
  <si>
    <t>Points</t>
  </si>
  <si>
    <t>Guidance on selection and disclosure of plausible adverse scenario, CIA education note, April 2023</t>
  </si>
  <si>
    <t>Your client is preparing the January 1, 2024 actuarial valuation for their defined benefit pension plan.</t>
  </si>
  <si>
    <t>As part of the regulatory requirements, the plan must disclose the impact of plausible adverse scenarios.</t>
  </si>
  <si>
    <t>As their actuary, you know the financial position of the plan:</t>
  </si>
  <si>
    <t>($)</t>
  </si>
  <si>
    <t>January 1, 2024</t>
  </si>
  <si>
    <t>Market value of assets</t>
  </si>
  <si>
    <t>Going concern liability</t>
  </si>
  <si>
    <t>Funded status</t>
  </si>
  <si>
    <t>Normal cost</t>
  </si>
  <si>
    <t>You are also aware of the key asset and liability characteristics:</t>
  </si>
  <si>
    <t>Asset mix (% of equity)</t>
  </si>
  <si>
    <t>Asset mix (% of fixed income)</t>
  </si>
  <si>
    <t>Duration of plan assets</t>
  </si>
  <si>
    <t>Duration of liabilities</t>
  </si>
  <si>
    <t>Duration of service cost</t>
  </si>
  <si>
    <t xml:space="preserve">Your client has identified 3 specific risk scenarios: </t>
  </si>
  <si>
    <t>Risk</t>
  </si>
  <si>
    <t>Scenarios</t>
  </si>
  <si>
    <t>A 100bp decrease in interest rate means a 60bp decline in discount rate</t>
  </si>
  <si>
    <t xml:space="preserve">Equity market shock </t>
  </si>
  <si>
    <t>20% decline in equity income portfolio, no change to other asset classes</t>
  </si>
  <si>
    <t>Longevity risk</t>
  </si>
  <si>
    <t>500bp increase in liabilities and normal cost</t>
  </si>
  <si>
    <t>Your findings will be used to complete the required funding risk disclosure for the valuation report.</t>
  </si>
  <si>
    <t>Interest rate risk on funding position</t>
  </si>
  <si>
    <t>MV of assets</t>
  </si>
  <si>
    <t>Risk adjustment</t>
  </si>
  <si>
    <t>Adj. market value of of assets</t>
  </si>
  <si>
    <t>Accrued liability</t>
  </si>
  <si>
    <t>Adj. accrued liability</t>
  </si>
  <si>
    <t>Adj. normal cost</t>
  </si>
  <si>
    <t>Deterioration of asset values</t>
  </si>
  <si>
    <t>Adj. MV of assets</t>
  </si>
  <si>
    <t>Disclosure</t>
  </si>
  <si>
    <t>As of January 1, 2024</t>
  </si>
  <si>
    <t>Going concern</t>
  </si>
  <si>
    <t>Your client is preparing the disclosures for their upcoming actuarial valuation.</t>
  </si>
  <si>
    <t>The sponsor is committed to meeting evolving pension governance and risk disclosure requirements.</t>
  </si>
  <si>
    <t>As part of the funding valuation process, they are required to assess and disclose the plan’s sensitivity to plausible adverse scenarios.</t>
  </si>
  <si>
    <t>These scenarios are designed to illustrate the potential financial impact of unexpected but reasonable economic stresses.</t>
  </si>
  <si>
    <t>You have been provided with the plan’s current characteristics and target asset mix. There is periodic rebalancing to maintain this allocation.</t>
  </si>
  <si>
    <t>Asset mix (% of bond)</t>
  </si>
  <si>
    <t>Asset mix (% of equities)</t>
  </si>
  <si>
    <t xml:space="preserve">Plan duration </t>
  </si>
  <si>
    <t>Discount rate</t>
  </si>
  <si>
    <t>Bond portfolio duration</t>
  </si>
  <si>
    <t>The sponsor has requested your assistance in quantifying and compiling the required disclosures for 2 plausible adverse scenarios:</t>
  </si>
  <si>
    <t>1. Higher inflation</t>
  </si>
  <si>
    <t>Change in inflation expectation</t>
  </si>
  <si>
    <t>Estimated impact of inflation on liabilities</t>
  </si>
  <si>
    <t>Expected discount rate adjustment</t>
  </si>
  <si>
    <t>Est. decrease in equity value from higher inflation</t>
  </si>
  <si>
    <t>Est. impact on service cost</t>
  </si>
  <si>
    <t>2. Market shock</t>
  </si>
  <si>
    <t>Change in total asset value</t>
  </si>
  <si>
    <t>Bond value</t>
  </si>
  <si>
    <t>Est. bond value</t>
  </si>
  <si>
    <t>Equity value</t>
  </si>
  <si>
    <t>Est. equity value</t>
  </si>
  <si>
    <t>Est. total asset</t>
  </si>
  <si>
    <t>Liability value</t>
  </si>
  <si>
    <t>Risk adjustment from higher inflation</t>
  </si>
  <si>
    <t>Est. liability after higher inflation</t>
  </si>
  <si>
    <t>Est. Impact from interest rate</t>
  </si>
  <si>
    <t>Risk adjustment from interest rate</t>
  </si>
  <si>
    <t>Estimated liability</t>
  </si>
  <si>
    <t>Scenario</t>
  </si>
  <si>
    <t>Inflation shock</t>
  </si>
  <si>
    <t>Market Shock</t>
  </si>
  <si>
    <t>Assets</t>
  </si>
  <si>
    <t>Liabilities</t>
  </si>
  <si>
    <t>Funded Status</t>
  </si>
  <si>
    <t>Calculate: The client has now asked you to demonstrate how to calculate the adjusted interest rate for use in the solvency liability determination.</t>
  </si>
  <si>
    <t>Your client sponsor is a pension plan for members working in a niche industry</t>
  </si>
  <si>
    <t>You are an external consultant. Your client sponsor is a defined benefit pension plan for workers in a niche industry.</t>
  </si>
  <si>
    <t>Based on your professional judgement, you have decided on the following assumptions:</t>
  </si>
  <si>
    <t>Answer: Calculate the adjusted mortality rates by age, reflecting these assumptions.</t>
  </si>
  <si>
    <t>Calculate: The client has asked you to calculate the adjusted mortality rates by age, reflecting these assumptions.</t>
  </si>
  <si>
    <t>Question: Using the building block method, assign the relevant risk premia to the asset classes and calculate a reasonable discount rate for the going concern valuation.</t>
  </si>
  <si>
    <t>Solution: Using the building block method, assign the relevant risk premia to the asset classes and calculate a reasonable discount rate for the going concern valuation.</t>
  </si>
  <si>
    <t>Question: You are asked to assign each risk premium to the appropriate asset class, and calculate the implied best estimate discount rate using the building block method.</t>
  </si>
  <si>
    <t>Solution: You are asked to assign each risk premium to the appropriate asset class, and calculate the implied best estimate discount rate using the building block method.</t>
  </si>
  <si>
    <t>Question: You are asked to determine the solvency-based incremental cost for two plan members.</t>
  </si>
  <si>
    <t>Solution: You are asked to determine the solvency-based incremental cost for two plan members.</t>
  </si>
  <si>
    <t>Question: You are asked to apply these scenarios and calculate the impact on the funded status and normal cost.</t>
  </si>
  <si>
    <t>Question: You are asked to calculate and compile the required disclosure metrics for these plausible adverse scenarios in a manner consistent with the funding reporting standard.</t>
  </si>
  <si>
    <t>Solution: You are asked to calculate and compile the required disclosure metrics for these plausible adverse scenarios in a manner consistent with the funding reporting standard.</t>
  </si>
  <si>
    <t>Source:</t>
  </si>
  <si>
    <t>Calculate and comply the required disclosure for the following three plausible adverse scenarios</t>
  </si>
  <si>
    <t>You are asked to apply these scenarios and calculate the impact on the funded status and normal cost.</t>
  </si>
  <si>
    <t>Your client is preparing year-end financial disclosures and funding assessments for its DB plan.</t>
  </si>
  <si>
    <t>RET301-100-25: Financial Services Commission of Ontario: Actuarial Guidance Note: Determination of the Solvency Liability Adjustment</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</si>
  <si>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</si>
  <si>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</si>
  <si>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</si>
  <si>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</si>
  <si>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</si>
  <si>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</si>
  <si>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</si>
  <si>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</si>
  <si>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</si>
  <si>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</si>
  <si>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</si>
  <si>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RET 301 - Actuarial Topics for Canadian Retirement Plans</t>
  </si>
  <si>
    <t>This guided example has been developed by Anna Wong (MBA, ASA, CGA, CPA), ACTEX Learning, with review and edits as appropriate by course curriculum volunteers and SOA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</si>
</sst>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
    <numFmt numFmtId="165" formatCode="_(&quot;$&quot;* #,##0_);_(&quot;$&quot;* \(#,##0\);_(&quot;$&quot;* &quot;-&quot;??_);_(@_)"/>
    <numFmt numFmtId="166" formatCode="_(* #,##0_);_(* \(#,##0\);_(* &quot;-&quot;??_);_(@_)"/>
    <numFmt numFmtId="167" formatCode="0.000000"/>
    <numFmt numFmtId="168" formatCode="_(&quot;$&quot;* #,##0.0_);_(&quot;$&quot;* \(#,##0.0\);_(&quot;$&quot;* &quot;-&quot;?_);_(@_)"/>
    <numFmt numFmtId="169" formatCode="0.0"/>
    <numFmt numFmtId="170" formatCode="_(* #,##0.0_);_(* \(#,##0.0\);_(* &quot;-&quot;??_);_(@_)"/>
    <numFmt numFmtId="171" formatCode="_(* #,##0_);_(* \(#,##0\);_(* &quot;-&quot;?_);_(@_)"/>
  </numFmts>
  <fonts count="18" x14ac:knownFonts="1">
    <font>
      <sz val="11"/>
      <color theme="1"/>
      <name val="Aptos Narrow"/>
      <scheme val="minor"/>
    </font>
    <font>
      <sz val="11"/>
      <color theme="1"/>
      <name val="Aptos Narrow"/>
      <family val="2"/>
      <scheme val="minor"/>
    </font>
    <font>
      <sz val="11"/>
      <color theme="1"/>
      <name val="Aptos Narrow"/>
      <family val="2"/>
      <scheme val="minor"/>
    </font>
    <font>
      <b/>
      <sz val="11"/>
      <color theme="1"/>
      <name val="Calibri"/>
      <family val="2"/>
    </font>
    <font>
      <sz val="11"/>
      <color theme="1"/>
      <name val="Calibri"/>
      <family val="2"/>
    </font>
    <font>
      <sz val="11"/>
      <name val="Calibri"/>
      <family val="2"/>
    </font>
    <font>
      <u/>
      <sz val="11"/>
      <color theme="1"/>
      <name val="Calibri"/>
      <family val="2"/>
    </font>
    <font>
      <b/>
      <sz val="14"/>
      <color theme="1"/>
      <name val="Calibri"/>
      <family val="2"/>
    </font>
    <font>
      <b/>
      <sz val="10"/>
      <color rgb="FF002060"/>
      <name val="Calibri"/>
      <family val="2"/>
    </font>
    <font>
      <sz val="10"/>
      <color rgb="FF002060"/>
      <name val="Calibri"/>
      <family val="2"/>
    </font>
    <font>
      <sz val="11"/>
      <color theme="1"/>
      <name val="Aptos Narrow"/>
      <family val="2"/>
    </font>
    <font>
      <u/>
      <sz val="11"/>
      <color theme="10"/>
      <name val="Aptos Narrow"/>
      <family val="2"/>
      <scheme val="minor"/>
    </font>
    <font>
      <b/>
      <sz val="26"/>
      <color theme="4"/>
      <name val="Calibri Light"/>
      <family val="2"/>
    </font>
    <font>
      <sz val="11"/>
      <color theme="4"/>
      <name val="Aptos Narrow"/>
      <family val="2"/>
      <scheme val="minor"/>
    </font>
    <font>
      <sz val="16"/>
      <color theme="4"/>
      <name val="Aptos Narrow"/>
      <family val="2"/>
      <scheme val="major"/>
    </font>
    <font>
      <sz val="11"/>
      <name val="Aptos Narrow"/>
      <family val="2"/>
    </font>
    <font>
      <u/>
      <sz val="11"/>
      <color theme="10"/>
      <name val="Aptos Narrow"/>
      <family val="2"/>
    </font>
    <font>
      <sz val="10"/>
      <color theme="1"/>
      <name val="Aptos Narrow"/>
      <family val="2"/>
      <scheme val="minor"/>
    </font>
  </fonts>
  <fills count="2">
    <fill>
      <patternFill patternType="none"/>
    </fill>
    <fill>
      <patternFill patternType="gray125"/>
    </fill>
  </fills>
  <borders count="2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rgb="FF000000"/>
      </top>
      <bottom style="double">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 fillId="0" borderId="0"/>
  </cellStyleXfs>
  <cellXfs count="106">
    <xf numFmtId="0" fontId="0" fillId="0" borderId="0" xfId="0"/>
    <xf numFmtId="0" fontId="3" fillId="0" borderId="0" xfId="0" applyFont="1"/>
    <xf numFmtId="0" fontId="4" fillId="0" borderId="0" xfId="0" applyFo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5" fontId="4" fillId="0" borderId="8" xfId="0" applyNumberFormat="1" applyFont="1" applyBorder="1" applyAlignment="1">
      <alignment horizontal="center" vertical="center" wrapText="1"/>
    </xf>
    <xf numFmtId="10"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15" fontId="4" fillId="0" borderId="0" xfId="0" applyNumberFormat="1" applyFont="1" applyAlignment="1">
      <alignment vertical="center" wrapText="1"/>
    </xf>
    <xf numFmtId="10" fontId="4" fillId="0" borderId="0" xfId="0" applyNumberFormat="1" applyFont="1" applyAlignment="1">
      <alignment horizontal="center" vertical="center" wrapText="1"/>
    </xf>
    <xf numFmtId="10" fontId="4" fillId="0" borderId="1" xfId="0" applyNumberFormat="1" applyFont="1" applyBorder="1" applyAlignment="1">
      <alignment horizontal="center" vertical="center" wrapText="1"/>
    </xf>
    <xf numFmtId="10" fontId="4" fillId="0" borderId="10" xfId="0" applyNumberFormat="1" applyFont="1" applyBorder="1" applyAlignment="1">
      <alignment horizontal="center"/>
    </xf>
    <xf numFmtId="0" fontId="6" fillId="0" borderId="0" xfId="0" applyFont="1"/>
    <xf numFmtId="0" fontId="7" fillId="0" borderId="0" xfId="0" applyFont="1"/>
    <xf numFmtId="0" fontId="4" fillId="0" borderId="0" xfId="0" applyFont="1" applyAlignment="1">
      <alignment horizontal="center"/>
    </xf>
    <xf numFmtId="0" fontId="4" fillId="0" borderId="0" xfId="0" applyFont="1" applyAlignment="1">
      <alignment horizontal="center" wrapText="1"/>
    </xf>
    <xf numFmtId="3" fontId="4" fillId="0" borderId="0" xfId="0" applyNumberFormat="1" applyFont="1" applyAlignment="1">
      <alignment horizontal="center"/>
    </xf>
    <xf numFmtId="10" fontId="4" fillId="0" borderId="0" xfId="0" applyNumberFormat="1" applyFont="1" applyAlignment="1">
      <alignment horizontal="center"/>
    </xf>
    <xf numFmtId="10" fontId="4" fillId="0" borderId="0" xfId="0" applyNumberFormat="1" applyFont="1"/>
    <xf numFmtId="0" fontId="6" fillId="0" borderId="0" xfId="0" applyFont="1" applyAlignment="1">
      <alignment horizontal="center" wrapText="1"/>
    </xf>
    <xf numFmtId="10" fontId="4" fillId="0" borderId="0" xfId="0" applyNumberFormat="1" applyFont="1" applyAlignment="1">
      <alignment horizontal="right"/>
    </xf>
    <xf numFmtId="10" fontId="4" fillId="0" borderId="22" xfId="0" applyNumberFormat="1" applyFont="1" applyBorder="1"/>
    <xf numFmtId="9" fontId="4" fillId="0" borderId="0" xfId="0" applyNumberFormat="1" applyFont="1"/>
    <xf numFmtId="0" fontId="3" fillId="0" borderId="0" xfId="0" applyFont="1" applyAlignment="1">
      <alignment horizontal="center"/>
    </xf>
    <xf numFmtId="9" fontId="4" fillId="0" borderId="0" xfId="0" applyNumberFormat="1" applyFont="1" applyAlignment="1">
      <alignment horizontal="center"/>
    </xf>
    <xf numFmtId="10" fontId="6" fillId="0" borderId="0" xfId="0" applyNumberFormat="1" applyFont="1" applyAlignment="1">
      <alignment horizontal="center"/>
    </xf>
    <xf numFmtId="10" fontId="3" fillId="0" borderId="0" xfId="0" applyNumberFormat="1" applyFont="1" applyAlignment="1">
      <alignment horizontal="center"/>
    </xf>
    <xf numFmtId="0" fontId="4" fillId="0" borderId="0" xfId="0" applyFont="1" applyAlignment="1">
      <alignment horizontal="right"/>
    </xf>
    <xf numFmtId="164" fontId="4" fillId="0" borderId="0" xfId="0" applyNumberFormat="1" applyFont="1" applyAlignment="1">
      <alignment horizontal="right"/>
    </xf>
    <xf numFmtId="0" fontId="4" fillId="0" borderId="0" xfId="0" applyFont="1" applyAlignment="1">
      <alignment horizontal="left"/>
    </xf>
    <xf numFmtId="165" fontId="4" fillId="0" borderId="0" xfId="0" applyNumberFormat="1" applyFont="1"/>
    <xf numFmtId="164" fontId="4" fillId="0" borderId="0" xfId="0" applyNumberFormat="1" applyFont="1"/>
    <xf numFmtId="0" fontId="8" fillId="0" borderId="2" xfId="0" applyFont="1" applyBorder="1" applyAlignment="1">
      <alignment horizontal="center"/>
    </xf>
    <xf numFmtId="164" fontId="8" fillId="0" borderId="3" xfId="0" applyNumberFormat="1" applyFont="1" applyBorder="1" applyAlignment="1">
      <alignment horizontal="center"/>
    </xf>
    <xf numFmtId="164" fontId="8" fillId="0" borderId="4" xfId="0" applyNumberFormat="1" applyFont="1" applyBorder="1" applyAlignment="1">
      <alignment horizontal="center"/>
    </xf>
    <xf numFmtId="0" fontId="9" fillId="0" borderId="16" xfId="0" applyFont="1" applyBorder="1" applyAlignment="1">
      <alignment horizontal="center"/>
    </xf>
    <xf numFmtId="169" fontId="9" fillId="0" borderId="0" xfId="0" applyNumberFormat="1" applyFont="1" applyAlignment="1">
      <alignment horizontal="center"/>
    </xf>
    <xf numFmtId="169" fontId="9" fillId="0" borderId="17" xfId="0" applyNumberFormat="1" applyFont="1" applyBorder="1" applyAlignment="1">
      <alignment horizontal="center"/>
    </xf>
    <xf numFmtId="0" fontId="9" fillId="0" borderId="20" xfId="0" applyFont="1" applyBorder="1" applyAlignment="1">
      <alignment horizontal="center"/>
    </xf>
    <xf numFmtId="169" fontId="9" fillId="0" borderId="1" xfId="0" applyNumberFormat="1" applyFont="1" applyBorder="1" applyAlignment="1">
      <alignment horizontal="center"/>
    </xf>
    <xf numFmtId="169" fontId="9" fillId="0" borderId="15" xfId="0" applyNumberFormat="1" applyFont="1" applyBorder="1" applyAlignment="1">
      <alignment horizontal="center"/>
    </xf>
    <xf numFmtId="165" fontId="4" fillId="0" borderId="0" xfId="0" applyNumberFormat="1" applyFont="1" applyAlignment="1">
      <alignment horizontal="right"/>
    </xf>
    <xf numFmtId="44" fontId="4" fillId="0" borderId="0" xfId="0" applyNumberFormat="1" applyFont="1" applyAlignment="1">
      <alignment horizontal="right"/>
    </xf>
    <xf numFmtId="168" fontId="4" fillId="0" borderId="0" xfId="0" applyNumberFormat="1" applyFont="1" applyAlignment="1">
      <alignment horizontal="right"/>
    </xf>
    <xf numFmtId="44" fontId="4" fillId="0" borderId="0" xfId="0" applyNumberFormat="1" applyFont="1"/>
    <xf numFmtId="0" fontId="4" fillId="0" borderId="0" xfId="0" applyFont="1" applyAlignment="1">
      <alignment wrapText="1"/>
    </xf>
    <xf numFmtId="0" fontId="4" fillId="0" borderId="1" xfId="0" applyFont="1" applyBorder="1"/>
    <xf numFmtId="44" fontId="4" fillId="0" borderId="1" xfId="0" applyNumberFormat="1" applyFont="1" applyBorder="1"/>
    <xf numFmtId="0" fontId="4" fillId="0" borderId="5" xfId="0" applyFont="1" applyBorder="1"/>
    <xf numFmtId="44" fontId="4" fillId="0" borderId="5" xfId="0" applyNumberFormat="1" applyFont="1" applyBorder="1"/>
    <xf numFmtId="164" fontId="4" fillId="0" borderId="0" xfId="0" applyNumberFormat="1" applyFont="1" applyAlignment="1">
      <alignment horizontal="center"/>
    </xf>
    <xf numFmtId="167" fontId="4" fillId="0" borderId="0" xfId="0" applyNumberFormat="1" applyFont="1" applyAlignment="1">
      <alignment horizontal="center"/>
    </xf>
    <xf numFmtId="169" fontId="4" fillId="0" borderId="0" xfId="0" applyNumberFormat="1" applyFont="1" applyAlignment="1">
      <alignment horizontal="center"/>
    </xf>
    <xf numFmtId="44" fontId="4" fillId="0" borderId="0" xfId="0" applyNumberFormat="1" applyFont="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7" xfId="0" applyFont="1" applyBorder="1" applyAlignment="1">
      <alignment horizontal="center"/>
    </xf>
    <xf numFmtId="15" fontId="4" fillId="0" borderId="1" xfId="0" quotePrefix="1" applyNumberFormat="1" applyFont="1" applyBorder="1" applyAlignment="1">
      <alignment horizontal="right"/>
    </xf>
    <xf numFmtId="166" fontId="4" fillId="0" borderId="0" xfId="0" applyNumberFormat="1" applyFont="1"/>
    <xf numFmtId="166" fontId="4" fillId="0" borderId="1" xfId="0" applyNumberFormat="1" applyFont="1" applyBorder="1"/>
    <xf numFmtId="170" fontId="4" fillId="0" borderId="0" xfId="0" applyNumberFormat="1" applyFont="1"/>
    <xf numFmtId="171" fontId="4" fillId="0" borderId="0" xfId="0" applyNumberFormat="1" applyFont="1"/>
    <xf numFmtId="171" fontId="4" fillId="0" borderId="1" xfId="0" applyNumberFormat="1" applyFont="1" applyBorder="1"/>
    <xf numFmtId="15" fontId="4" fillId="0" borderId="21" xfId="0" quotePrefix="1" applyNumberFormat="1" applyFont="1" applyBorder="1" applyAlignment="1">
      <alignment horizontal="left"/>
    </xf>
    <xf numFmtId="0" fontId="4" fillId="0" borderId="21" xfId="0" applyFont="1" applyBorder="1" applyAlignment="1">
      <alignment horizontal="center"/>
    </xf>
    <xf numFmtId="0" fontId="4" fillId="0" borderId="21" xfId="0" applyFont="1" applyBorder="1" applyAlignment="1">
      <alignment horizontal="center" wrapText="1"/>
    </xf>
    <xf numFmtId="166" fontId="4" fillId="0" borderId="0" xfId="0" applyNumberFormat="1" applyFont="1" applyAlignment="1">
      <alignment horizontal="center"/>
    </xf>
    <xf numFmtId="171" fontId="4" fillId="0" borderId="0" xfId="0" applyNumberFormat="1" applyFont="1" applyAlignment="1">
      <alignment horizontal="center"/>
    </xf>
    <xf numFmtId="166" fontId="4" fillId="0" borderId="1" xfId="0" applyNumberFormat="1" applyFont="1" applyBorder="1" applyAlignment="1">
      <alignment horizontal="center"/>
    </xf>
    <xf numFmtId="171" fontId="4" fillId="0" borderId="1" xfId="0" applyNumberFormat="1" applyFont="1" applyBorder="1" applyAlignment="1">
      <alignment horizontal="center"/>
    </xf>
    <xf numFmtId="0" fontId="4" fillId="0" borderId="0" xfId="0" applyFont="1" applyAlignment="1">
      <alignment horizontal="left" wrapText="1"/>
    </xf>
    <xf numFmtId="166" fontId="6" fillId="0" borderId="0" xfId="0" applyNumberFormat="1" applyFont="1"/>
    <xf numFmtId="15" fontId="3" fillId="0" borderId="1" xfId="0" applyNumberFormat="1" applyFont="1" applyBorder="1" applyAlignment="1">
      <alignment horizontal="center"/>
    </xf>
    <xf numFmtId="0" fontId="4" fillId="0" borderId="1" xfId="0" applyFont="1" applyBorder="1" applyAlignment="1">
      <alignment horizontal="right"/>
    </xf>
    <xf numFmtId="15" fontId="4" fillId="0" borderId="1" xfId="0" applyNumberFormat="1" applyFont="1" applyBorder="1" applyAlignment="1">
      <alignment horizontal="right"/>
    </xf>
    <xf numFmtId="0" fontId="2" fillId="0" borderId="0" xfId="0" applyFont="1"/>
    <xf numFmtId="0" fontId="4" fillId="0" borderId="0" xfId="0" applyFont="1" applyAlignment="1">
      <alignment vertical="center" wrapText="1"/>
    </xf>
    <xf numFmtId="0" fontId="5" fillId="0" borderId="0" xfId="0" applyFont="1"/>
    <xf numFmtId="0" fontId="4" fillId="0" borderId="0" xfId="0" applyFont="1" applyAlignment="1">
      <alignment horizontal="center" vertical="center" wrapText="1"/>
    </xf>
    <xf numFmtId="0" fontId="5" fillId="0" borderId="1" xfId="0" applyFont="1" applyBorder="1"/>
    <xf numFmtId="0" fontId="8" fillId="0" borderId="11" xfId="0" applyFont="1" applyBorder="1" applyAlignment="1">
      <alignment horizontal="center"/>
    </xf>
    <xf numFmtId="0" fontId="5" fillId="0" borderId="12" xfId="0" applyFont="1" applyBorder="1"/>
    <xf numFmtId="0" fontId="5" fillId="0" borderId="13" xfId="0" applyFont="1" applyBorder="1"/>
    <xf numFmtId="0" fontId="8" fillId="0" borderId="14" xfId="0" applyFont="1" applyBorder="1" applyAlignment="1">
      <alignment horizontal="center"/>
    </xf>
    <xf numFmtId="0" fontId="5" fillId="0" borderId="15" xfId="0" applyFont="1" applyBorder="1"/>
    <xf numFmtId="0" fontId="4" fillId="0" borderId="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 xfId="0" applyFont="1" applyBorder="1" applyAlignment="1">
      <alignment horizontal="center"/>
    </xf>
    <xf numFmtId="0" fontId="8" fillId="0" borderId="15" xfId="0" applyFont="1" applyBorder="1" applyAlignment="1">
      <alignment horizontal="center"/>
    </xf>
    <xf numFmtId="0" fontId="6" fillId="0" borderId="0" xfId="0" applyFont="1" applyAlignment="1">
      <alignment horizontal="center"/>
    </xf>
    <xf numFmtId="0" fontId="4" fillId="0" borderId="0" xfId="0" applyFont="1"/>
    <xf numFmtId="0" fontId="12" fillId="0" borderId="0" xfId="2" applyFont="1" applyAlignment="1">
      <alignment horizontal="center"/>
    </xf>
    <xf numFmtId="0" fontId="1" fillId="0" borderId="0" xfId="2"/>
    <xf numFmtId="0" fontId="13" fillId="0" borderId="0" xfId="2" applyFont="1"/>
    <xf numFmtId="0" fontId="14" fillId="0" borderId="0" xfId="2" applyFont="1" applyAlignment="1">
      <alignment horizontal="center"/>
    </xf>
    <xf numFmtId="0" fontId="1" fillId="0" borderId="0" xfId="2" applyAlignment="1">
      <alignment horizontal="right" vertical="top" indent="1"/>
    </xf>
    <xf numFmtId="0" fontId="15" fillId="0" borderId="0" xfId="2" applyFont="1" applyAlignment="1">
      <alignment horizontal="left" wrapText="1"/>
    </xf>
    <xf numFmtId="0" fontId="15" fillId="0" borderId="0" xfId="2" applyFont="1"/>
    <xf numFmtId="0" fontId="11" fillId="0" borderId="0" xfId="1"/>
    <xf numFmtId="0" fontId="16" fillId="0" borderId="0" xfId="1" applyFont="1"/>
    <xf numFmtId="0" fontId="10" fillId="0" borderId="0" xfId="2" applyFont="1"/>
    <xf numFmtId="0" fontId="17" fillId="0" borderId="0" xfId="2" applyFont="1" applyAlignment="1">
      <alignment horizontal="left"/>
    </xf>
    <xf numFmtId="0" fontId="17" fillId="0" borderId="0" xfId="2" applyFont="1" applyAlignment="1">
      <alignment horizontal="center"/>
    </xf>
    <xf numFmtId="0" fontId="17" fillId="0" borderId="0" xfId="2" applyFont="1" applyAlignment="1">
      <alignment horizontal="right"/>
    </xf>
  </cellXfs>
  <cellStyles count="3">
    <cellStyle name="Hyperlink" xfId="1" builtinId="8"/>
    <cellStyle name="Normal" xfId="0" builtinId="0"/>
    <cellStyle name="Normal 2" xfId="2" xr:uid="{A0DE91EC-E449-43EF-878A-4766495D8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24B192DE-55DE-4FCD-8D00-BFE80DCBB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399D5672-186D-421B-9BE1-9D075C1A0603}"/>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33C1583E-5CED-4546-87AA-8FDA486E8B35}"/>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2C04-92F6-469A-A98D-C7804FE4A2BF}">
  <sheetPr>
    <tabColor rgb="FF0070C0"/>
    <pageSetUpPr autoPageBreaks="0"/>
  </sheetPr>
  <dimension ref="A6:K22"/>
  <sheetViews>
    <sheetView showGridLines="0" tabSelected="1" zoomScale="115" zoomScaleNormal="115" workbookViewId="0"/>
  </sheetViews>
  <sheetFormatPr defaultRowHeight="14.4" x14ac:dyDescent="0.3"/>
  <cols>
    <col min="1" max="16384" width="8.88671875" style="94"/>
  </cols>
  <sheetData>
    <row r="6" spans="1:10" ht="33.6" x14ac:dyDescent="0.65">
      <c r="A6" s="93" t="s">
        <v>274</v>
      </c>
      <c r="B6" s="93"/>
      <c r="C6" s="93"/>
      <c r="D6" s="93"/>
      <c r="E6" s="93"/>
      <c r="F6" s="93"/>
      <c r="G6" s="93"/>
      <c r="H6" s="93"/>
      <c r="I6" s="93"/>
      <c r="J6" s="93"/>
    </row>
    <row r="7" spans="1:10" ht="6" customHeight="1" x14ac:dyDescent="0.3">
      <c r="A7" s="95"/>
      <c r="B7" s="95"/>
      <c r="C7" s="95"/>
      <c r="D7" s="95"/>
      <c r="E7" s="95"/>
      <c r="F7" s="95"/>
      <c r="G7" s="95"/>
      <c r="H7" s="95"/>
      <c r="I7" s="95"/>
      <c r="J7" s="95"/>
    </row>
    <row r="8" spans="1:10" ht="21" x14ac:dyDescent="0.4">
      <c r="A8" s="96" t="s">
        <v>285</v>
      </c>
      <c r="B8" s="96"/>
      <c r="C8" s="96"/>
      <c r="D8" s="96"/>
      <c r="E8" s="96"/>
      <c r="F8" s="96"/>
      <c r="G8" s="96"/>
      <c r="H8" s="96"/>
      <c r="I8" s="96"/>
      <c r="J8" s="96"/>
    </row>
    <row r="10" spans="1:10" ht="75" customHeight="1" x14ac:dyDescent="0.3">
      <c r="A10" s="97" t="s">
        <v>275</v>
      </c>
      <c r="B10" s="98" t="s">
        <v>276</v>
      </c>
      <c r="C10" s="98"/>
      <c r="D10" s="98"/>
      <c r="E10" s="98"/>
      <c r="F10" s="98"/>
      <c r="G10" s="98"/>
      <c r="H10" s="98"/>
      <c r="I10" s="98"/>
      <c r="J10" s="98"/>
    </row>
    <row r="11" spans="1:10" x14ac:dyDescent="0.3">
      <c r="B11" s="99"/>
      <c r="C11" s="99"/>
      <c r="D11" s="99"/>
      <c r="E11" s="99"/>
      <c r="F11" s="99"/>
      <c r="G11" s="99"/>
      <c r="H11" s="99"/>
      <c r="I11" s="99"/>
      <c r="J11" s="99"/>
    </row>
    <row r="12" spans="1:10" ht="45" customHeight="1" x14ac:dyDescent="0.3">
      <c r="A12" s="97" t="s">
        <v>275</v>
      </c>
      <c r="B12" s="98" t="s">
        <v>277</v>
      </c>
      <c r="C12" s="98"/>
      <c r="D12" s="98"/>
      <c r="E12" s="98"/>
      <c r="F12" s="98"/>
      <c r="G12" s="98"/>
      <c r="H12" s="98"/>
      <c r="I12" s="98"/>
      <c r="J12" s="98"/>
    </row>
    <row r="13" spans="1:10" x14ac:dyDescent="0.3">
      <c r="B13" s="99"/>
      <c r="C13" s="99"/>
      <c r="D13" s="99"/>
      <c r="E13" s="99"/>
      <c r="F13" s="99"/>
      <c r="G13" s="99"/>
      <c r="H13" s="99"/>
      <c r="I13" s="99"/>
      <c r="J13" s="99"/>
    </row>
    <row r="14" spans="1:10" ht="30" customHeight="1" x14ac:dyDescent="0.3">
      <c r="A14" s="97" t="s">
        <v>275</v>
      </c>
      <c r="B14" s="98" t="s">
        <v>278</v>
      </c>
      <c r="C14" s="98"/>
      <c r="D14" s="98"/>
      <c r="E14" s="98"/>
      <c r="F14" s="98"/>
      <c r="G14" s="98"/>
      <c r="H14" s="98"/>
      <c r="I14" s="98"/>
      <c r="J14" s="98"/>
    </row>
    <row r="15" spans="1:10" x14ac:dyDescent="0.3">
      <c r="B15" s="99"/>
      <c r="C15" s="99"/>
      <c r="D15" s="99"/>
      <c r="E15" s="99"/>
      <c r="F15" s="99"/>
      <c r="G15" s="99"/>
      <c r="H15" s="99"/>
      <c r="I15" s="99"/>
      <c r="J15" s="99"/>
    </row>
    <row r="16" spans="1:10" ht="42.6" customHeight="1" x14ac:dyDescent="0.3">
      <c r="A16" s="97" t="s">
        <v>275</v>
      </c>
      <c r="B16" s="98" t="s">
        <v>279</v>
      </c>
      <c r="C16" s="98"/>
      <c r="D16" s="98"/>
      <c r="E16" s="98"/>
      <c r="F16" s="98"/>
      <c r="G16" s="98"/>
      <c r="H16" s="98"/>
      <c r="I16" s="98"/>
      <c r="J16" s="98"/>
    </row>
    <row r="17" spans="1:11" x14ac:dyDescent="0.3">
      <c r="B17" s="99"/>
      <c r="C17" s="99"/>
      <c r="D17" s="99"/>
      <c r="E17" s="99"/>
      <c r="F17" s="99"/>
      <c r="G17" s="99"/>
      <c r="H17" s="99"/>
      <c r="I17" s="99"/>
      <c r="J17" s="99"/>
      <c r="K17" s="100"/>
    </row>
    <row r="18" spans="1:11" ht="74.400000000000006" customHeight="1" x14ac:dyDescent="0.3">
      <c r="A18" s="97" t="s">
        <v>275</v>
      </c>
      <c r="B18" s="98" t="s">
        <v>280</v>
      </c>
      <c r="C18" s="98"/>
      <c r="D18" s="98"/>
      <c r="E18" s="98"/>
      <c r="F18" s="98"/>
      <c r="G18" s="98"/>
      <c r="H18" s="98"/>
      <c r="I18" s="98"/>
      <c r="J18" s="98"/>
    </row>
    <row r="19" spans="1:11" x14ac:dyDescent="0.3">
      <c r="B19" s="101" t="s">
        <v>281</v>
      </c>
      <c r="C19" s="102"/>
      <c r="D19" s="102"/>
      <c r="E19" s="102"/>
      <c r="F19" s="102"/>
      <c r="G19" s="102"/>
      <c r="H19" s="102"/>
      <c r="I19" s="102"/>
      <c r="J19" s="102"/>
    </row>
    <row r="22" spans="1:11" x14ac:dyDescent="0.3">
      <c r="B22" s="103" t="s">
        <v>282</v>
      </c>
      <c r="C22" s="103"/>
      <c r="D22" s="104" t="s">
        <v>283</v>
      </c>
      <c r="E22" s="104"/>
      <c r="F22" s="104"/>
      <c r="G22" s="104"/>
      <c r="H22" s="105" t="s">
        <v>284</v>
      </c>
      <c r="I22" s="105"/>
      <c r="J22" s="105"/>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999BA48C-43F4-4E4A-8434-D71ACFE5B5A2}"/>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7AF5-AB78-4B78-A661-8566414CAF62}">
  <sheetPr>
    <tabColor theme="5" tint="0.39997558519241921"/>
  </sheetPr>
  <dimension ref="A1:C73"/>
  <sheetViews>
    <sheetView zoomScale="115" zoomScaleNormal="115" workbookViewId="0"/>
  </sheetViews>
  <sheetFormatPr defaultColWidth="12.5546875" defaultRowHeight="15" customHeight="1" x14ac:dyDescent="0.3"/>
  <cols>
    <col min="1" max="1" width="30" style="2" customWidth="1"/>
    <col min="2" max="2" width="27.88671875" style="2" bestFit="1" customWidth="1"/>
    <col min="3" max="3" width="10.109375" style="2" bestFit="1" customWidth="1"/>
    <col min="4" max="5" width="9" style="2" customWidth="1"/>
    <col min="6" max="6" width="16.33203125" style="2" customWidth="1"/>
    <col min="7" max="7" width="35.109375" style="2" customWidth="1"/>
    <col min="8" max="8" width="15.44140625" style="2" customWidth="1"/>
    <col min="9" max="9" width="13" style="2" customWidth="1"/>
    <col min="10" max="10" width="9" style="2" customWidth="1"/>
    <col min="11" max="11" width="12.44140625" style="2" customWidth="1"/>
    <col min="12" max="27" width="8.5546875" style="2" customWidth="1"/>
    <col min="28" max="16384" width="12.5546875" style="2"/>
  </cols>
  <sheetData>
    <row r="1" spans="1:2" ht="15" customHeight="1" x14ac:dyDescent="0.3">
      <c r="A1" s="2" t="s">
        <v>286</v>
      </c>
    </row>
    <row r="3" spans="1:2" ht="15" customHeight="1" x14ac:dyDescent="0.3">
      <c r="A3" s="13" t="s">
        <v>269</v>
      </c>
      <c r="B3" s="13"/>
    </row>
    <row r="4" spans="1:2" ht="14.4" x14ac:dyDescent="0.3">
      <c r="A4" s="2" t="s">
        <v>117</v>
      </c>
    </row>
    <row r="5" spans="1:2" ht="14.4" x14ac:dyDescent="0.3">
      <c r="A5" s="1"/>
    </row>
    <row r="6" spans="1:2" ht="14.4" x14ac:dyDescent="0.3">
      <c r="A6" s="1"/>
    </row>
    <row r="7" spans="1:2" ht="14.4" x14ac:dyDescent="0.3"/>
    <row r="8" spans="1:2" ht="14.4" x14ac:dyDescent="0.3">
      <c r="A8" s="2" t="s">
        <v>87</v>
      </c>
    </row>
    <row r="9" spans="1:2" ht="14.4" x14ac:dyDescent="0.3">
      <c r="A9" s="2" t="s">
        <v>272</v>
      </c>
    </row>
    <row r="10" spans="1:2" ht="14.4" x14ac:dyDescent="0.3">
      <c r="A10" s="2" t="s">
        <v>119</v>
      </c>
    </row>
    <row r="11" spans="1:2" ht="14.4" x14ac:dyDescent="0.3">
      <c r="A11" s="2" t="s">
        <v>122</v>
      </c>
    </row>
    <row r="12" spans="1:2" ht="14.4" x14ac:dyDescent="0.3">
      <c r="A12" s="2" t="s">
        <v>123</v>
      </c>
    </row>
    <row r="13" spans="1:2" ht="14.4" x14ac:dyDescent="0.3"/>
    <row r="14" spans="1:2" ht="14.4" x14ac:dyDescent="0.3"/>
    <row r="15" spans="1:2" ht="14.4" x14ac:dyDescent="0.3">
      <c r="A15" s="2" t="s">
        <v>127</v>
      </c>
    </row>
    <row r="16" spans="1:2" ht="15.75" customHeight="1" x14ac:dyDescent="0.3">
      <c r="A16" s="13" t="s">
        <v>129</v>
      </c>
    </row>
    <row r="17" spans="1:3" ht="14.4" x14ac:dyDescent="0.3">
      <c r="A17" s="2" t="s">
        <v>131</v>
      </c>
      <c r="B17" s="28" t="s">
        <v>132</v>
      </c>
    </row>
    <row r="18" spans="1:3" ht="14.4" x14ac:dyDescent="0.3">
      <c r="A18" s="2" t="s">
        <v>134</v>
      </c>
      <c r="B18" s="28">
        <v>65</v>
      </c>
    </row>
    <row r="19" spans="1:3" ht="14.4" x14ac:dyDescent="0.3">
      <c r="A19" s="2" t="s">
        <v>138</v>
      </c>
      <c r="B19" s="28">
        <v>75</v>
      </c>
    </row>
    <row r="20" spans="1:3" ht="14.4" x14ac:dyDescent="0.3">
      <c r="A20" s="2" t="s">
        <v>140</v>
      </c>
      <c r="B20" s="29">
        <v>0.05</v>
      </c>
    </row>
    <row r="21" spans="1:3" ht="14.4" x14ac:dyDescent="0.3">
      <c r="B21" s="30"/>
      <c r="C21" s="28"/>
    </row>
    <row r="22" spans="1:3" ht="14.4" x14ac:dyDescent="0.3">
      <c r="A22" s="13" t="s">
        <v>142</v>
      </c>
    </row>
    <row r="23" spans="1:3" ht="14.4" x14ac:dyDescent="0.3">
      <c r="B23" s="2" t="s">
        <v>120</v>
      </c>
      <c r="C23" s="28" t="s">
        <v>121</v>
      </c>
    </row>
    <row r="24" spans="1:3" ht="14.4" x14ac:dyDescent="0.3">
      <c r="A24" s="2" t="s">
        <v>144</v>
      </c>
      <c r="B24" s="2">
        <v>45</v>
      </c>
      <c r="C24" s="2">
        <v>55</v>
      </c>
    </row>
    <row r="25" spans="1:3" ht="14.4" x14ac:dyDescent="0.3">
      <c r="A25" s="2" t="s">
        <v>146</v>
      </c>
      <c r="B25" s="2">
        <v>8</v>
      </c>
      <c r="C25" s="2">
        <v>21</v>
      </c>
    </row>
    <row r="26" spans="1:3" ht="14.4" x14ac:dyDescent="0.3">
      <c r="A26" s="2" t="s">
        <v>148</v>
      </c>
      <c r="B26" s="31">
        <v>76000</v>
      </c>
      <c r="C26" s="31">
        <v>65000</v>
      </c>
    </row>
    <row r="27" spans="1:3" ht="14.4" x14ac:dyDescent="0.3">
      <c r="A27" s="2" t="s">
        <v>150</v>
      </c>
      <c r="B27" s="31">
        <v>74000</v>
      </c>
      <c r="C27" s="31">
        <v>62000</v>
      </c>
    </row>
    <row r="28" spans="1:3" ht="14.4" x14ac:dyDescent="0.3">
      <c r="A28" s="2" t="s">
        <v>151</v>
      </c>
      <c r="B28" s="31">
        <v>73000</v>
      </c>
      <c r="C28" s="31">
        <v>58000</v>
      </c>
    </row>
    <row r="29" spans="1:3" ht="14.4" x14ac:dyDescent="0.3">
      <c r="A29" s="2" t="s">
        <v>152</v>
      </c>
      <c r="B29" s="31">
        <v>69000</v>
      </c>
      <c r="C29" s="31">
        <v>56000</v>
      </c>
    </row>
    <row r="30" spans="1:3" ht="14.4" x14ac:dyDescent="0.3">
      <c r="A30" s="2" t="s">
        <v>154</v>
      </c>
      <c r="B30" s="31">
        <v>67000</v>
      </c>
      <c r="C30" s="31">
        <v>53000</v>
      </c>
    </row>
    <row r="31" spans="1:3" ht="14.4" x14ac:dyDescent="0.3"/>
    <row r="32" spans="1:3" ht="15.75" customHeight="1" x14ac:dyDescent="0.3">
      <c r="A32" s="2" t="s">
        <v>156</v>
      </c>
    </row>
    <row r="33" spans="1:3" ht="15.75" customHeight="1" x14ac:dyDescent="0.3">
      <c r="A33" s="13" t="s">
        <v>157</v>
      </c>
    </row>
    <row r="34" spans="1:3" ht="15.75" customHeight="1" x14ac:dyDescent="0.3">
      <c r="A34" s="2" t="s">
        <v>158</v>
      </c>
      <c r="B34" s="32">
        <v>4.1000000000000002E-2</v>
      </c>
    </row>
    <row r="35" spans="1:3" ht="15.75" customHeight="1" x14ac:dyDescent="0.3">
      <c r="A35" s="2" t="s">
        <v>160</v>
      </c>
      <c r="B35" s="2" t="s">
        <v>161</v>
      </c>
    </row>
    <row r="36" spans="1:3" ht="15.75" customHeight="1" x14ac:dyDescent="0.3">
      <c r="A36" s="2" t="s">
        <v>163</v>
      </c>
      <c r="B36" s="32">
        <v>2.5000000000000001E-2</v>
      </c>
    </row>
    <row r="37" spans="1:3" ht="15.75" customHeight="1" x14ac:dyDescent="0.3">
      <c r="A37" s="2" t="s">
        <v>165</v>
      </c>
      <c r="B37" s="28" t="s">
        <v>166</v>
      </c>
    </row>
    <row r="38" spans="1:3" ht="15.75" customHeight="1" x14ac:dyDescent="0.3"/>
    <row r="39" spans="1:3" ht="15.75" customHeight="1" x14ac:dyDescent="0.3"/>
    <row r="40" spans="1:3" ht="15.75" customHeight="1" x14ac:dyDescent="0.3">
      <c r="A40" s="2" t="s">
        <v>169</v>
      </c>
    </row>
    <row r="41" spans="1:3" ht="15.75" customHeight="1" x14ac:dyDescent="0.3"/>
    <row r="42" spans="1:3" ht="15.75" customHeight="1" x14ac:dyDescent="0.3">
      <c r="A42" s="81" t="s">
        <v>170</v>
      </c>
      <c r="B42" s="82"/>
      <c r="C42" s="83"/>
    </row>
    <row r="43" spans="1:3" ht="15.75" customHeight="1" x14ac:dyDescent="0.3">
      <c r="A43" s="84" t="s">
        <v>172</v>
      </c>
      <c r="B43" s="80"/>
      <c r="C43" s="85"/>
    </row>
    <row r="44" spans="1:3" ht="15.75" customHeight="1" x14ac:dyDescent="0.3">
      <c r="A44" s="33" t="s">
        <v>1</v>
      </c>
      <c r="B44" s="34">
        <v>4.1000000000000002E-2</v>
      </c>
      <c r="C44" s="35">
        <v>0.05</v>
      </c>
    </row>
    <row r="45" spans="1:3" ht="15.75" customHeight="1" x14ac:dyDescent="0.3">
      <c r="A45" s="36">
        <v>45</v>
      </c>
      <c r="B45" s="37">
        <v>19.63581048020772</v>
      </c>
      <c r="C45" s="38">
        <v>17.284066443782475</v>
      </c>
    </row>
    <row r="46" spans="1:3" ht="15.75" customHeight="1" x14ac:dyDescent="0.3">
      <c r="A46" s="36">
        <v>46</v>
      </c>
      <c r="B46" s="37">
        <v>19.437575432038059</v>
      </c>
      <c r="C46" s="38">
        <v>17.1396783962863</v>
      </c>
    </row>
    <row r="47" spans="1:3" ht="15.75" customHeight="1" x14ac:dyDescent="0.3">
      <c r="A47" s="36">
        <v>47</v>
      </c>
      <c r="B47" s="37">
        <v>19.233464733514758</v>
      </c>
      <c r="C47" s="38">
        <v>16.990103249555695</v>
      </c>
    </row>
    <row r="48" spans="1:3" ht="15.75" customHeight="1" x14ac:dyDescent="0.3">
      <c r="A48" s="36">
        <v>48</v>
      </c>
      <c r="B48" s="37">
        <v>19.023018158842167</v>
      </c>
      <c r="C48" s="38">
        <v>16.834893495193004</v>
      </c>
    </row>
    <row r="49" spans="1:3" ht="15.75" customHeight="1" x14ac:dyDescent="0.3">
      <c r="A49" s="36">
        <v>49</v>
      </c>
      <c r="B49" s="37">
        <v>18.80568664644343</v>
      </c>
      <c r="C49" s="38">
        <v>16.67351601214429</v>
      </c>
    </row>
    <row r="50" spans="1:3" ht="15.75" customHeight="1" x14ac:dyDescent="0.3">
      <c r="A50" s="36">
        <v>50</v>
      </c>
      <c r="B50" s="37">
        <v>18.581264594057448</v>
      </c>
      <c r="C50" s="38">
        <v>16.505735778057524</v>
      </c>
    </row>
    <row r="51" spans="1:3" ht="15.75" customHeight="1" x14ac:dyDescent="0.3">
      <c r="A51" s="36">
        <v>51</v>
      </c>
      <c r="B51" s="37">
        <v>18.349351530434397</v>
      </c>
      <c r="C51" s="38">
        <v>16.33114005435397</v>
      </c>
    </row>
    <row r="52" spans="1:3" ht="15.75" customHeight="1" x14ac:dyDescent="0.3">
      <c r="A52" s="36">
        <v>52</v>
      </c>
      <c r="B52" s="37">
        <v>18.109757293477639</v>
      </c>
      <c r="C52" s="38">
        <v>16.149497685680711</v>
      </c>
    </row>
    <row r="53" spans="1:3" ht="15.75" customHeight="1" x14ac:dyDescent="0.3">
      <c r="A53" s="36">
        <v>53</v>
      </c>
      <c r="B53" s="37">
        <v>17.862509270437055</v>
      </c>
      <c r="C53" s="38">
        <v>15.96076860298937</v>
      </c>
    </row>
    <row r="54" spans="1:3" ht="15.75" customHeight="1" x14ac:dyDescent="0.3">
      <c r="A54" s="36">
        <v>54</v>
      </c>
      <c r="B54" s="37">
        <v>17.607768038445073</v>
      </c>
      <c r="C54" s="38">
        <v>15.765031265787227</v>
      </c>
    </row>
    <row r="55" spans="1:3" ht="15.75" customHeight="1" x14ac:dyDescent="0.3">
      <c r="A55" s="36">
        <v>55</v>
      </c>
      <c r="B55" s="37">
        <v>17.345980930857955</v>
      </c>
      <c r="C55" s="38">
        <v>15.562622875667785</v>
      </c>
    </row>
    <row r="56" spans="1:3" ht="15.75" customHeight="1" x14ac:dyDescent="0.3">
      <c r="A56" s="36">
        <v>56</v>
      </c>
      <c r="B56" s="37">
        <v>17.077561344778527</v>
      </c>
      <c r="C56" s="38">
        <v>15.353854868554128</v>
      </c>
    </row>
    <row r="57" spans="1:3" ht="15.75" customHeight="1" x14ac:dyDescent="0.3">
      <c r="A57" s="36">
        <v>57</v>
      </c>
      <c r="B57" s="37">
        <v>16.803042964593278</v>
      </c>
      <c r="C57" s="38">
        <v>15.139151933435613</v>
      </c>
    </row>
    <row r="58" spans="1:3" ht="15.75" customHeight="1" x14ac:dyDescent="0.3">
      <c r="A58" s="36">
        <v>58</v>
      </c>
      <c r="B58" s="37">
        <v>16.52218069712989</v>
      </c>
      <c r="C58" s="38">
        <v>14.918240209714543</v>
      </c>
    </row>
    <row r="59" spans="1:3" ht="15.75" customHeight="1" x14ac:dyDescent="0.3">
      <c r="A59" s="36">
        <v>59</v>
      </c>
      <c r="B59" s="37">
        <v>16.234410218423481</v>
      </c>
      <c r="C59" s="38">
        <v>14.690552167552021</v>
      </c>
    </row>
    <row r="60" spans="1:3" ht="15.75" customHeight="1" x14ac:dyDescent="0.3">
      <c r="A60" s="36">
        <v>60</v>
      </c>
      <c r="B60" s="37">
        <v>15.93885090896006</v>
      </c>
      <c r="C60" s="38">
        <v>14.455224042583259</v>
      </c>
    </row>
    <row r="61" spans="1:3" ht="15.75" customHeight="1" x14ac:dyDescent="0.3">
      <c r="A61" s="36">
        <v>61</v>
      </c>
      <c r="B61" s="37">
        <v>15.634321396697604</v>
      </c>
      <c r="C61" s="38">
        <v>14.21110435724176</v>
      </c>
    </row>
    <row r="62" spans="1:3" ht="15.75" customHeight="1" x14ac:dyDescent="0.3">
      <c r="A62" s="36">
        <v>62</v>
      </c>
      <c r="B62" s="37">
        <v>15.319745614847244</v>
      </c>
      <c r="C62" s="38">
        <v>13.957119379423707</v>
      </c>
    </row>
    <row r="63" spans="1:3" ht="15.75" customHeight="1" x14ac:dyDescent="0.3">
      <c r="A63" s="36">
        <v>63</v>
      </c>
      <c r="B63" s="37">
        <v>14.994151157110824</v>
      </c>
      <c r="C63" s="38">
        <v>13.692272649016862</v>
      </c>
    </row>
    <row r="64" spans="1:3" ht="15.75" customHeight="1" x14ac:dyDescent="0.3">
      <c r="A64" s="36">
        <v>64</v>
      </c>
      <c r="B64" s="37">
        <v>14.65742164014638</v>
      </c>
      <c r="C64" s="38">
        <v>13.416336567835957</v>
      </c>
    </row>
    <row r="65" spans="1:3" ht="15.75" customHeight="1" x14ac:dyDescent="0.3">
      <c r="A65" s="36">
        <v>65</v>
      </c>
      <c r="B65" s="37">
        <v>14.309507142920319</v>
      </c>
      <c r="C65" s="38">
        <v>13.129139905515039</v>
      </c>
    </row>
    <row r="66" spans="1:3" ht="15.75" customHeight="1" x14ac:dyDescent="0.3">
      <c r="A66" s="36">
        <v>66</v>
      </c>
      <c r="B66" s="37">
        <v>13.9504129443909</v>
      </c>
      <c r="C66" s="38">
        <v>12.830558431202119</v>
      </c>
    </row>
    <row r="67" spans="1:3" ht="15.75" customHeight="1" x14ac:dyDescent="0.3">
      <c r="A67" s="36">
        <v>67</v>
      </c>
      <c r="B67" s="37">
        <v>13.580901365305456</v>
      </c>
      <c r="C67" s="38">
        <v>12.521164671050814</v>
      </c>
    </row>
    <row r="68" spans="1:3" ht="15.75" customHeight="1" x14ac:dyDescent="0.3">
      <c r="A68" s="36">
        <v>68</v>
      </c>
      <c r="B68" s="37">
        <v>13.201322439590781</v>
      </c>
      <c r="C68" s="38">
        <v>12.201157110476938</v>
      </c>
    </row>
    <row r="69" spans="1:3" ht="15.75" customHeight="1" x14ac:dyDescent="0.3">
      <c r="A69" s="36">
        <v>69</v>
      </c>
      <c r="B69" s="37">
        <v>12.811923695462886</v>
      </c>
      <c r="C69" s="38">
        <v>11.87064116295787</v>
      </c>
    </row>
    <row r="70" spans="1:3" ht="15.75" customHeight="1" x14ac:dyDescent="0.3">
      <c r="A70" s="36">
        <v>70</v>
      </c>
      <c r="B70" s="37">
        <v>12.413277459696335</v>
      </c>
      <c r="C70" s="38">
        <v>11.530025244130009</v>
      </c>
    </row>
    <row r="71" spans="1:3" ht="15.75" customHeight="1" x14ac:dyDescent="0.3">
      <c r="A71" s="39">
        <v>71</v>
      </c>
      <c r="B71" s="40">
        <v>12.005921247124158</v>
      </c>
      <c r="C71" s="41">
        <v>11.179690917753776</v>
      </c>
    </row>
    <row r="72" spans="1:3" ht="15.75" customHeight="1" x14ac:dyDescent="0.3"/>
    <row r="73" spans="1:3" ht="15.75" customHeight="1" x14ac:dyDescent="0.3">
      <c r="A73" s="1" t="s">
        <v>264</v>
      </c>
    </row>
  </sheetData>
  <mergeCells count="2">
    <mergeCell ref="A42:C42"/>
    <mergeCell ref="A43:C43"/>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K76"/>
  <sheetViews>
    <sheetView zoomScale="115" zoomScaleNormal="115" workbookViewId="0"/>
  </sheetViews>
  <sheetFormatPr defaultColWidth="12.5546875" defaultRowHeight="15" customHeight="1" x14ac:dyDescent="0.3"/>
  <cols>
    <col min="1" max="1" width="30" style="2" customWidth="1"/>
    <col min="2" max="2" width="27.88671875" style="2" bestFit="1" customWidth="1"/>
    <col min="3" max="3" width="10.109375" style="2" bestFit="1" customWidth="1"/>
    <col min="4" max="5" width="9" style="2" customWidth="1"/>
    <col min="6" max="6" width="16.33203125" style="2" customWidth="1"/>
    <col min="7" max="7" width="35.109375" style="2" customWidth="1"/>
    <col min="8" max="8" width="15.44140625" style="2" customWidth="1"/>
    <col min="9" max="9" width="13" style="2" customWidth="1"/>
    <col min="10" max="10" width="9" style="2" customWidth="1"/>
    <col min="11" max="11" width="14" style="2" customWidth="1"/>
    <col min="12" max="27" width="8.5546875" style="2" customWidth="1"/>
    <col min="28" max="16384" width="12.5546875" style="2"/>
  </cols>
  <sheetData>
    <row r="1" spans="1:9" ht="15" customHeight="1" x14ac:dyDescent="0.3">
      <c r="A1" s="2" t="s">
        <v>286</v>
      </c>
    </row>
    <row r="3" spans="1:9" ht="14.4" x14ac:dyDescent="0.3">
      <c r="A3" s="1"/>
      <c r="F3" s="1"/>
      <c r="G3" s="1"/>
    </row>
    <row r="4" spans="1:9" ht="14.4" x14ac:dyDescent="0.3">
      <c r="A4" s="1" t="s">
        <v>265</v>
      </c>
    </row>
    <row r="5" spans="1:9" ht="14.4" x14ac:dyDescent="0.3">
      <c r="A5" s="1"/>
    </row>
    <row r="6" spans="1:9" ht="14.4" x14ac:dyDescent="0.3">
      <c r="A6" s="13" t="s">
        <v>129</v>
      </c>
      <c r="F6" s="15"/>
    </row>
    <row r="7" spans="1:9" ht="14.4" x14ac:dyDescent="0.3">
      <c r="A7" s="2" t="s">
        <v>131</v>
      </c>
      <c r="B7" s="28" t="s">
        <v>132</v>
      </c>
      <c r="G7" s="86" t="s">
        <v>118</v>
      </c>
      <c r="H7" s="80"/>
      <c r="I7" s="80"/>
    </row>
    <row r="8" spans="1:9" ht="14.4" x14ac:dyDescent="0.3">
      <c r="A8" s="2" t="s">
        <v>134</v>
      </c>
      <c r="B8" s="28">
        <v>65</v>
      </c>
      <c r="H8" s="28" t="s">
        <v>120</v>
      </c>
      <c r="I8" s="28" t="s">
        <v>121</v>
      </c>
    </row>
    <row r="9" spans="1:9" ht="14.4" x14ac:dyDescent="0.3">
      <c r="A9" s="2" t="s">
        <v>138</v>
      </c>
      <c r="B9" s="28">
        <v>75</v>
      </c>
      <c r="G9" s="2" t="s">
        <v>1</v>
      </c>
      <c r="H9" s="28">
        <f>B14</f>
        <v>45</v>
      </c>
      <c r="I9" s="28">
        <f>C14</f>
        <v>55</v>
      </c>
    </row>
    <row r="10" spans="1:9" ht="14.4" x14ac:dyDescent="0.3">
      <c r="A10" s="2" t="s">
        <v>140</v>
      </c>
      <c r="B10" s="29">
        <v>0.05</v>
      </c>
      <c r="G10" s="2" t="s">
        <v>124</v>
      </c>
      <c r="H10" s="42">
        <f>AVERAGE(B16:B20)</f>
        <v>71800</v>
      </c>
      <c r="I10" s="42">
        <f>AVERAGE(C16:C20)</f>
        <v>58800</v>
      </c>
    </row>
    <row r="11" spans="1:9" ht="14.4" x14ac:dyDescent="0.3">
      <c r="B11" s="30"/>
      <c r="C11" s="28"/>
      <c r="G11" s="2" t="s">
        <v>125</v>
      </c>
      <c r="H11" s="42">
        <f>H10*0.02*B15</f>
        <v>11488</v>
      </c>
      <c r="I11" s="43">
        <f>0.02*I10*C15</f>
        <v>24696</v>
      </c>
    </row>
    <row r="12" spans="1:9" ht="14.4" x14ac:dyDescent="0.3">
      <c r="A12" s="13" t="s">
        <v>142</v>
      </c>
      <c r="G12" s="2" t="s">
        <v>126</v>
      </c>
      <c r="H12" s="28">
        <f>B14+B15</f>
        <v>53</v>
      </c>
      <c r="I12" s="28">
        <f>C14+C15</f>
        <v>76</v>
      </c>
    </row>
    <row r="13" spans="1:9" ht="14.4" x14ac:dyDescent="0.3">
      <c r="B13" s="2" t="s">
        <v>120</v>
      </c>
      <c r="C13" s="28" t="s">
        <v>121</v>
      </c>
      <c r="G13" s="2" t="s">
        <v>128</v>
      </c>
      <c r="H13" s="28" t="str">
        <f t="shared" ref="H13:I13" si="0">IF(H12&gt;=55,"Yes","No")</f>
        <v>No</v>
      </c>
      <c r="I13" s="28" t="str">
        <f t="shared" si="0"/>
        <v>Yes</v>
      </c>
    </row>
    <row r="14" spans="1:9" ht="15.75" customHeight="1" x14ac:dyDescent="0.3">
      <c r="A14" s="2" t="s">
        <v>144</v>
      </c>
      <c r="B14" s="2">
        <v>45</v>
      </c>
      <c r="C14" s="2">
        <v>55</v>
      </c>
      <c r="G14" s="2" t="s">
        <v>130</v>
      </c>
      <c r="H14" s="28" t="str">
        <f>IF(H12&gt;=$B$9,"Yes","No")</f>
        <v>No</v>
      </c>
      <c r="I14" s="28" t="str">
        <f>IF(I12&gt;=$B$9,"Yes","No")</f>
        <v>Yes</v>
      </c>
    </row>
    <row r="15" spans="1:9" ht="14.4" x14ac:dyDescent="0.3">
      <c r="A15" s="2" t="s">
        <v>146</v>
      </c>
      <c r="B15" s="2">
        <v>8</v>
      </c>
      <c r="C15" s="2">
        <v>21</v>
      </c>
      <c r="G15" s="2" t="s">
        <v>133</v>
      </c>
      <c r="H15" s="28">
        <v>65</v>
      </c>
      <c r="I15" s="28">
        <v>55</v>
      </c>
    </row>
    <row r="16" spans="1:9" ht="14.4" x14ac:dyDescent="0.3">
      <c r="A16" s="2" t="s">
        <v>148</v>
      </c>
      <c r="B16" s="31">
        <v>76000</v>
      </c>
      <c r="C16" s="31">
        <v>65000</v>
      </c>
      <c r="G16" s="2" t="s">
        <v>135</v>
      </c>
      <c r="H16" s="28" t="s">
        <v>136</v>
      </c>
      <c r="I16" s="28" t="s">
        <v>137</v>
      </c>
    </row>
    <row r="17" spans="1:9" ht="14.4" x14ac:dyDescent="0.3">
      <c r="A17" s="2" t="s">
        <v>150</v>
      </c>
      <c r="B17" s="31">
        <v>74000</v>
      </c>
      <c r="C17" s="31">
        <v>62000</v>
      </c>
      <c r="G17" s="2" t="s">
        <v>139</v>
      </c>
      <c r="H17" s="43">
        <f>H11*C33*(1+C32)^(B14-H15)</f>
        <v>74834.932740939956</v>
      </c>
      <c r="I17" s="43">
        <f>I11*B43</f>
        <v>428376.34506846807</v>
      </c>
    </row>
    <row r="18" spans="1:9" ht="14.4" x14ac:dyDescent="0.3">
      <c r="A18" s="2" t="s">
        <v>151</v>
      </c>
      <c r="B18" s="31">
        <v>73000</v>
      </c>
      <c r="C18" s="31">
        <v>58000</v>
      </c>
      <c r="F18" s="15"/>
    </row>
    <row r="19" spans="1:9" ht="14.4" x14ac:dyDescent="0.3">
      <c r="A19" s="2" t="s">
        <v>152</v>
      </c>
      <c r="B19" s="31">
        <v>69000</v>
      </c>
      <c r="C19" s="31">
        <v>56000</v>
      </c>
      <c r="G19" s="86" t="s">
        <v>141</v>
      </c>
      <c r="H19" s="80"/>
      <c r="I19" s="80"/>
    </row>
    <row r="20" spans="1:9" ht="14.4" x14ac:dyDescent="0.3">
      <c r="A20" s="2" t="s">
        <v>154</v>
      </c>
      <c r="B20" s="31">
        <v>67000</v>
      </c>
      <c r="C20" s="31">
        <v>53000</v>
      </c>
      <c r="H20" s="28" t="s">
        <v>120</v>
      </c>
      <c r="I20" s="28" t="s">
        <v>121</v>
      </c>
    </row>
    <row r="21" spans="1:9" ht="14.4" x14ac:dyDescent="0.3">
      <c r="G21" s="2" t="s">
        <v>143</v>
      </c>
      <c r="H21" s="42">
        <f>AVERAGE(B16*(1+B25),B16:B19)</f>
        <v>73980</v>
      </c>
      <c r="I21" s="44">
        <f>AVERAGE(C16*(1+B25),C16:C19)</f>
        <v>61525</v>
      </c>
    </row>
    <row r="22" spans="1:9" ht="14.4" x14ac:dyDescent="0.3">
      <c r="A22" s="13" t="s">
        <v>157</v>
      </c>
      <c r="G22" s="2" t="s">
        <v>145</v>
      </c>
      <c r="H22" s="28">
        <f>B14+1</f>
        <v>46</v>
      </c>
      <c r="I22" s="28">
        <f>I9+1</f>
        <v>56</v>
      </c>
    </row>
    <row r="23" spans="1:9" ht="14.4" x14ac:dyDescent="0.3">
      <c r="A23" s="2" t="s">
        <v>158</v>
      </c>
      <c r="B23" s="32">
        <v>4.1000000000000002E-2</v>
      </c>
      <c r="G23" s="2" t="s">
        <v>147</v>
      </c>
      <c r="H23" s="28">
        <f>B15+1</f>
        <v>9</v>
      </c>
      <c r="I23" s="28">
        <f>C15+1</f>
        <v>22</v>
      </c>
    </row>
    <row r="24" spans="1:9" ht="14.4" x14ac:dyDescent="0.3">
      <c r="A24" s="2" t="s">
        <v>160</v>
      </c>
      <c r="B24" s="2" t="s">
        <v>161</v>
      </c>
      <c r="G24" s="2" t="s">
        <v>149</v>
      </c>
      <c r="H24" s="42">
        <f>0.02*H23*H21</f>
        <v>13316.4</v>
      </c>
      <c r="I24" s="43">
        <f>0.02*I21*I23</f>
        <v>27071</v>
      </c>
    </row>
    <row r="25" spans="1:9" ht="14.4" x14ac:dyDescent="0.3">
      <c r="A25" s="2" t="s">
        <v>163</v>
      </c>
      <c r="B25" s="32">
        <v>2.5000000000000001E-2</v>
      </c>
      <c r="G25" s="2" t="s">
        <v>126</v>
      </c>
      <c r="H25" s="28">
        <f t="shared" ref="H25:I25" si="1">H23+H22</f>
        <v>55</v>
      </c>
      <c r="I25" s="28">
        <f t="shared" si="1"/>
        <v>78</v>
      </c>
    </row>
    <row r="26" spans="1:9" ht="14.4" x14ac:dyDescent="0.3">
      <c r="A26" s="2" t="s">
        <v>165</v>
      </c>
      <c r="B26" s="28" t="s">
        <v>166</v>
      </c>
      <c r="G26" s="2" t="s">
        <v>128</v>
      </c>
      <c r="H26" s="28" t="str">
        <f t="shared" ref="H26:I26" si="2">IF(H25&gt;=55,"Yes","No")</f>
        <v>Yes</v>
      </c>
      <c r="I26" s="28" t="str">
        <f t="shared" si="2"/>
        <v>Yes</v>
      </c>
    </row>
    <row r="27" spans="1:9" ht="14.4" x14ac:dyDescent="0.3">
      <c r="G27" s="2" t="s">
        <v>153</v>
      </c>
      <c r="H27" s="28" t="str">
        <f>IF(H25&gt;=$B$9,"Yes","No")</f>
        <v>No</v>
      </c>
      <c r="I27" s="28" t="str">
        <f>IF(I25&gt;=$B$9,"Yes","No")</f>
        <v>Yes</v>
      </c>
    </row>
    <row r="28" spans="1:9" ht="14.4" x14ac:dyDescent="0.3">
      <c r="G28" s="2" t="s">
        <v>155</v>
      </c>
      <c r="H28" s="28">
        <f>G67</f>
        <v>56</v>
      </c>
      <c r="I28" s="28">
        <f>I22</f>
        <v>56</v>
      </c>
    </row>
    <row r="29" spans="1:9" ht="14.4" x14ac:dyDescent="0.3"/>
    <row r="30" spans="1:9" ht="15.75" customHeight="1" x14ac:dyDescent="0.3">
      <c r="A30" s="81" t="s">
        <v>170</v>
      </c>
      <c r="B30" s="87"/>
      <c r="C30" s="88"/>
      <c r="H30" s="45"/>
      <c r="I30" s="45"/>
    </row>
    <row r="31" spans="1:9" ht="15.75" customHeight="1" x14ac:dyDescent="0.3">
      <c r="A31" s="84" t="s">
        <v>172</v>
      </c>
      <c r="B31" s="89"/>
      <c r="C31" s="90"/>
      <c r="F31" s="46"/>
      <c r="H31" s="45"/>
      <c r="I31" s="45"/>
    </row>
    <row r="32" spans="1:9" ht="15.75" customHeight="1" x14ac:dyDescent="0.3">
      <c r="A32" s="33" t="s">
        <v>1</v>
      </c>
      <c r="B32" s="34">
        <v>4.1000000000000002E-2</v>
      </c>
      <c r="C32" s="35">
        <v>0.05</v>
      </c>
      <c r="F32" s="46"/>
      <c r="G32" s="2" t="s">
        <v>159</v>
      </c>
      <c r="H32" s="45">
        <f t="shared" ref="H32:H33" si="3">K43</f>
        <v>126908.15758435987</v>
      </c>
      <c r="I32" s="45">
        <f>I24*B44</f>
        <v>462306.66316449951</v>
      </c>
    </row>
    <row r="33" spans="1:11" ht="15.75" customHeight="1" x14ac:dyDescent="0.3">
      <c r="A33" s="36">
        <v>45</v>
      </c>
      <c r="B33" s="37">
        <v>19.63581048020772</v>
      </c>
      <c r="C33" s="38">
        <v>17.284066443782475</v>
      </c>
      <c r="G33" s="47" t="s">
        <v>162</v>
      </c>
      <c r="H33" s="48">
        <f t="shared" si="3"/>
        <v>125519.52079067765</v>
      </c>
      <c r="I33" s="48">
        <f>I32</f>
        <v>462306.66316449951</v>
      </c>
    </row>
    <row r="34" spans="1:11" ht="15.75" customHeight="1" x14ac:dyDescent="0.3">
      <c r="A34" s="36">
        <v>46</v>
      </c>
      <c r="B34" s="37">
        <v>19.437575432038059</v>
      </c>
      <c r="C34" s="38">
        <v>17.1396783962863</v>
      </c>
      <c r="G34" s="46" t="s">
        <v>164</v>
      </c>
      <c r="H34" s="45">
        <f t="shared" ref="H34:I34" si="4">AVERAGE(H32:H33)</f>
        <v>126213.83918751875</v>
      </c>
      <c r="I34" s="45">
        <f t="shared" si="4"/>
        <v>462306.66316449951</v>
      </c>
    </row>
    <row r="35" spans="1:11" ht="15.75" customHeight="1" x14ac:dyDescent="0.3">
      <c r="A35" s="36">
        <v>47</v>
      </c>
      <c r="B35" s="37">
        <v>19.233464733514758</v>
      </c>
      <c r="C35" s="38">
        <v>16.990103249555695</v>
      </c>
      <c r="G35" s="46" t="s">
        <v>167</v>
      </c>
      <c r="H35" s="45">
        <f>H34*(1+$C$32)^-1</f>
        <v>120203.65636906547</v>
      </c>
      <c r="I35" s="45">
        <f>I34*(1+B32)^-1</f>
        <v>444098.6197545625</v>
      </c>
    </row>
    <row r="36" spans="1:11" ht="15.75" customHeight="1" x14ac:dyDescent="0.3">
      <c r="A36" s="36">
        <v>48</v>
      </c>
      <c r="B36" s="37">
        <v>19.023018158842167</v>
      </c>
      <c r="C36" s="38">
        <v>16.834893495193004</v>
      </c>
    </row>
    <row r="37" spans="1:11" ht="15.75" customHeight="1" x14ac:dyDescent="0.3">
      <c r="A37" s="36">
        <v>49</v>
      </c>
      <c r="B37" s="37">
        <v>18.80568664644343</v>
      </c>
      <c r="C37" s="38">
        <v>16.67351601214429</v>
      </c>
      <c r="G37" s="49" t="s">
        <v>168</v>
      </c>
      <c r="H37" s="50">
        <f t="shared" ref="H37:I37" si="5">H35-H17</f>
        <v>45368.723628125517</v>
      </c>
      <c r="I37" s="50">
        <f t="shared" si="5"/>
        <v>15722.274686094432</v>
      </c>
    </row>
    <row r="38" spans="1:11" ht="15.75" customHeight="1" x14ac:dyDescent="0.3">
      <c r="A38" s="36">
        <v>50</v>
      </c>
      <c r="B38" s="37">
        <v>18.581264594057448</v>
      </c>
      <c r="C38" s="38">
        <v>16.505735778057524</v>
      </c>
    </row>
    <row r="39" spans="1:11" ht="15.75" customHeight="1" x14ac:dyDescent="0.3">
      <c r="A39" s="36">
        <v>51</v>
      </c>
      <c r="B39" s="37">
        <v>18.349351530434397</v>
      </c>
      <c r="C39" s="38">
        <v>16.33114005435397</v>
      </c>
      <c r="F39" s="15"/>
    </row>
    <row r="40" spans="1:11" ht="15.75" customHeight="1" x14ac:dyDescent="0.3">
      <c r="A40" s="36">
        <v>52</v>
      </c>
      <c r="B40" s="37">
        <v>18.109757293477639</v>
      </c>
      <c r="C40" s="38">
        <v>16.149497685680711</v>
      </c>
      <c r="F40" s="15"/>
      <c r="G40" s="2" t="s">
        <v>171</v>
      </c>
    </row>
    <row r="41" spans="1:11" ht="15.75" customHeight="1" x14ac:dyDescent="0.3">
      <c r="A41" s="36">
        <v>53</v>
      </c>
      <c r="B41" s="37">
        <v>17.862509270437055</v>
      </c>
      <c r="C41" s="38">
        <v>15.96076860298937</v>
      </c>
      <c r="F41" s="15"/>
    </row>
    <row r="42" spans="1:11" ht="15.75" customHeight="1" x14ac:dyDescent="0.3">
      <c r="A42" s="36">
        <v>54</v>
      </c>
      <c r="B42" s="37">
        <v>17.607768038445073</v>
      </c>
      <c r="C42" s="38">
        <v>15.765031265787227</v>
      </c>
      <c r="F42" s="15"/>
      <c r="G42" s="15" t="s">
        <v>173</v>
      </c>
      <c r="H42" s="15" t="s">
        <v>174</v>
      </c>
      <c r="I42" s="15" t="s">
        <v>175</v>
      </c>
      <c r="J42" s="46" t="s">
        <v>176</v>
      </c>
      <c r="K42" s="2" t="s">
        <v>177</v>
      </c>
    </row>
    <row r="43" spans="1:11" ht="15.75" customHeight="1" x14ac:dyDescent="0.3">
      <c r="A43" s="36">
        <v>55</v>
      </c>
      <c r="B43" s="37">
        <v>17.345980930857955</v>
      </c>
      <c r="C43" s="38">
        <v>15.562622875667785</v>
      </c>
      <c r="F43" s="15"/>
      <c r="G43" s="15">
        <v>55</v>
      </c>
      <c r="H43" s="51">
        <f>B10</f>
        <v>0.05</v>
      </c>
      <c r="I43" s="52">
        <f t="shared" ref="I43:I53" si="6">(1+$C$32)^($H$22-G43)</f>
        <v>0.64460891621779726</v>
      </c>
      <c r="J43" s="53">
        <f t="shared" ref="J43:J53" si="7">C43</f>
        <v>15.562622875667785</v>
      </c>
      <c r="K43" s="54">
        <f t="shared" ref="K43:K53" si="8">J43*I43*(1-H43)*$H$24</f>
        <v>126908.15758435987</v>
      </c>
    </row>
    <row r="44" spans="1:11" ht="15.75" customHeight="1" x14ac:dyDescent="0.3">
      <c r="A44" s="36">
        <v>56</v>
      </c>
      <c r="B44" s="37">
        <v>17.077561344778527</v>
      </c>
      <c r="C44" s="38">
        <v>15.353854868554128</v>
      </c>
      <c r="F44" s="15"/>
      <c r="G44" s="15">
        <f t="shared" ref="G44:G53" si="9">G43+1</f>
        <v>56</v>
      </c>
      <c r="H44" s="15">
        <v>0</v>
      </c>
      <c r="I44" s="52">
        <f t="shared" si="6"/>
        <v>0.61391325354075932</v>
      </c>
      <c r="J44" s="53">
        <f t="shared" si="7"/>
        <v>15.353854868554128</v>
      </c>
      <c r="K44" s="54">
        <f t="shared" si="8"/>
        <v>125519.52079067765</v>
      </c>
    </row>
    <row r="45" spans="1:11" ht="15.75" customHeight="1" x14ac:dyDescent="0.3">
      <c r="A45" s="36">
        <v>57</v>
      </c>
      <c r="B45" s="37">
        <v>16.803042964593278</v>
      </c>
      <c r="C45" s="38">
        <v>15.139151933435613</v>
      </c>
      <c r="F45" s="15"/>
      <c r="G45" s="15">
        <f t="shared" si="9"/>
        <v>57</v>
      </c>
      <c r="H45" s="15">
        <v>0</v>
      </c>
      <c r="I45" s="52">
        <f t="shared" si="6"/>
        <v>0.5846792890864374</v>
      </c>
      <c r="J45" s="53">
        <f t="shared" si="7"/>
        <v>15.139151933435613</v>
      </c>
      <c r="K45" s="54">
        <f t="shared" si="8"/>
        <v>117870.76164138183</v>
      </c>
    </row>
    <row r="46" spans="1:11" ht="15.75" customHeight="1" x14ac:dyDescent="0.3">
      <c r="A46" s="36">
        <v>58</v>
      </c>
      <c r="B46" s="37">
        <v>16.52218069712989</v>
      </c>
      <c r="C46" s="38">
        <v>14.918240209714543</v>
      </c>
      <c r="F46" s="15"/>
      <c r="G46" s="15">
        <f t="shared" si="9"/>
        <v>58</v>
      </c>
      <c r="H46" s="15">
        <v>0</v>
      </c>
      <c r="I46" s="52">
        <f t="shared" si="6"/>
        <v>0.5568374181775595</v>
      </c>
      <c r="J46" s="53">
        <f t="shared" si="7"/>
        <v>14.918240209714543</v>
      </c>
      <c r="K46" s="54">
        <f t="shared" si="8"/>
        <v>110619.79237986926</v>
      </c>
    </row>
    <row r="47" spans="1:11" ht="15.75" customHeight="1" x14ac:dyDescent="0.3">
      <c r="A47" s="36">
        <v>59</v>
      </c>
      <c r="B47" s="37">
        <v>16.234410218423481</v>
      </c>
      <c r="C47" s="38">
        <v>14.690552167552021</v>
      </c>
      <c r="F47" s="15"/>
      <c r="G47" s="15">
        <f t="shared" si="9"/>
        <v>59</v>
      </c>
      <c r="H47" s="15">
        <v>0</v>
      </c>
      <c r="I47" s="52">
        <f t="shared" si="6"/>
        <v>0.53032135064529462</v>
      </c>
      <c r="J47" s="53">
        <f t="shared" si="7"/>
        <v>14.690552167552021</v>
      </c>
      <c r="K47" s="54">
        <f t="shared" si="8"/>
        <v>103744.25681490636</v>
      </c>
    </row>
    <row r="48" spans="1:11" ht="15.75" customHeight="1" x14ac:dyDescent="0.3">
      <c r="A48" s="36">
        <v>60</v>
      </c>
      <c r="B48" s="37">
        <v>15.93885090896006</v>
      </c>
      <c r="C48" s="38">
        <v>14.455224042583259</v>
      </c>
      <c r="F48" s="15"/>
      <c r="G48" s="15">
        <f t="shared" si="9"/>
        <v>60</v>
      </c>
      <c r="H48" s="15">
        <v>0</v>
      </c>
      <c r="I48" s="52">
        <f t="shared" si="6"/>
        <v>0.50506795299551888</v>
      </c>
      <c r="J48" s="53">
        <f t="shared" si="7"/>
        <v>14.455224042583259</v>
      </c>
      <c r="K48" s="54">
        <f t="shared" si="8"/>
        <v>97221.31082465587</v>
      </c>
    </row>
    <row r="49" spans="1:11" ht="15.75" customHeight="1" x14ac:dyDescent="0.3">
      <c r="A49" s="36">
        <v>61</v>
      </c>
      <c r="B49" s="37">
        <v>15.634321396697604</v>
      </c>
      <c r="C49" s="38">
        <v>14.21110435724176</v>
      </c>
      <c r="F49" s="15"/>
      <c r="G49" s="15">
        <f t="shared" si="9"/>
        <v>61</v>
      </c>
      <c r="H49" s="15">
        <v>0</v>
      </c>
      <c r="I49" s="52">
        <f t="shared" si="6"/>
        <v>0.48101709809097021</v>
      </c>
      <c r="J49" s="53">
        <f t="shared" si="7"/>
        <v>14.21110435724176</v>
      </c>
      <c r="K49" s="54">
        <f t="shared" si="8"/>
        <v>91028.036435754213</v>
      </c>
    </row>
    <row r="50" spans="1:11" ht="15.75" customHeight="1" x14ac:dyDescent="0.3">
      <c r="A50" s="36">
        <v>62</v>
      </c>
      <c r="B50" s="37">
        <v>15.319745614847244</v>
      </c>
      <c r="C50" s="38">
        <v>13.957119379423707</v>
      </c>
      <c r="F50" s="15"/>
      <c r="G50" s="15">
        <f t="shared" si="9"/>
        <v>62</v>
      </c>
      <c r="H50" s="15">
        <v>0</v>
      </c>
      <c r="I50" s="52">
        <f t="shared" si="6"/>
        <v>0.45811152199140021</v>
      </c>
      <c r="J50" s="53">
        <f t="shared" si="7"/>
        <v>13.957119379423707</v>
      </c>
      <c r="K50" s="54">
        <f t="shared" si="8"/>
        <v>85143.959022367024</v>
      </c>
    </row>
    <row r="51" spans="1:11" ht="15.75" customHeight="1" x14ac:dyDescent="0.3">
      <c r="A51" s="36">
        <v>63</v>
      </c>
      <c r="B51" s="37">
        <v>14.994151157110824</v>
      </c>
      <c r="C51" s="38">
        <v>13.692272649016862</v>
      </c>
      <c r="G51" s="15">
        <f t="shared" si="9"/>
        <v>63</v>
      </c>
      <c r="H51" s="15">
        <v>0</v>
      </c>
      <c r="I51" s="52">
        <f t="shared" si="6"/>
        <v>0.43629668761085727</v>
      </c>
      <c r="J51" s="53">
        <f t="shared" si="7"/>
        <v>13.692272649016862</v>
      </c>
      <c r="K51" s="54">
        <f t="shared" si="8"/>
        <v>79550.751443512723</v>
      </c>
    </row>
    <row r="52" spans="1:11" ht="15.75" customHeight="1" x14ac:dyDescent="0.3">
      <c r="A52" s="36">
        <v>64</v>
      </c>
      <c r="B52" s="37">
        <v>14.65742164014638</v>
      </c>
      <c r="C52" s="38">
        <v>13.416336567835957</v>
      </c>
      <c r="G52" s="15">
        <f t="shared" si="9"/>
        <v>64</v>
      </c>
      <c r="H52" s="15">
        <v>0</v>
      </c>
      <c r="I52" s="52">
        <f t="shared" si="6"/>
        <v>0.41552065486748313</v>
      </c>
      <c r="J52" s="53">
        <f t="shared" si="7"/>
        <v>13.416336567835957</v>
      </c>
      <c r="K52" s="54">
        <f t="shared" si="8"/>
        <v>74235.80006793185</v>
      </c>
    </row>
    <row r="53" spans="1:11" ht="15.75" customHeight="1" x14ac:dyDescent="0.3">
      <c r="A53" s="36">
        <v>65</v>
      </c>
      <c r="B53" s="37">
        <v>14.309507142920319</v>
      </c>
      <c r="C53" s="38">
        <v>13.129139905515039</v>
      </c>
      <c r="F53" s="15"/>
      <c r="G53" s="15">
        <f t="shared" si="9"/>
        <v>65</v>
      </c>
      <c r="H53" s="15">
        <v>0</v>
      </c>
      <c r="I53" s="52">
        <f t="shared" si="6"/>
        <v>0.39573395701665059</v>
      </c>
      <c r="J53" s="53">
        <f t="shared" si="7"/>
        <v>13.129139905515039</v>
      </c>
      <c r="K53" s="54">
        <f t="shared" si="8"/>
        <v>69187.306879948621</v>
      </c>
    </row>
    <row r="54" spans="1:11" ht="15.75" customHeight="1" x14ac:dyDescent="0.3">
      <c r="A54" s="36">
        <v>66</v>
      </c>
      <c r="B54" s="37">
        <v>13.9504129443909</v>
      </c>
      <c r="C54" s="38">
        <v>12.830558431202119</v>
      </c>
      <c r="F54" s="15"/>
    </row>
    <row r="55" spans="1:11" ht="15.75" customHeight="1" x14ac:dyDescent="0.3">
      <c r="A55" s="36">
        <v>67</v>
      </c>
      <c r="B55" s="37">
        <v>13.580901365305456</v>
      </c>
      <c r="C55" s="38">
        <v>12.521164671050814</v>
      </c>
      <c r="F55" s="15"/>
      <c r="G55" s="2" t="s">
        <v>178</v>
      </c>
    </row>
    <row r="56" spans="1:11" ht="15.75" customHeight="1" x14ac:dyDescent="0.3">
      <c r="A56" s="36">
        <v>68</v>
      </c>
      <c r="B56" s="37">
        <v>13.201322439590781</v>
      </c>
      <c r="C56" s="38">
        <v>12.201157110476938</v>
      </c>
      <c r="F56" s="15"/>
      <c r="G56" s="15" t="s">
        <v>1</v>
      </c>
      <c r="H56" s="15" t="s">
        <v>179</v>
      </c>
      <c r="I56" s="15" t="s">
        <v>180</v>
      </c>
    </row>
    <row r="57" spans="1:11" ht="15.75" customHeight="1" x14ac:dyDescent="0.3">
      <c r="A57" s="36">
        <v>69</v>
      </c>
      <c r="B57" s="37">
        <v>12.811923695462886</v>
      </c>
      <c r="C57" s="38">
        <v>11.87064116295787</v>
      </c>
      <c r="F57" s="15"/>
      <c r="G57" s="15">
        <v>46</v>
      </c>
      <c r="H57" s="15">
        <v>9</v>
      </c>
      <c r="I57" s="15">
        <f t="shared" ref="I57:I76" si="10">H57+G57</f>
        <v>55</v>
      </c>
    </row>
    <row r="58" spans="1:11" ht="15.75" customHeight="1" x14ac:dyDescent="0.3">
      <c r="A58" s="36">
        <v>70</v>
      </c>
      <c r="B58" s="37">
        <v>12.413277459696335</v>
      </c>
      <c r="C58" s="38">
        <v>11.530025244130009</v>
      </c>
      <c r="F58" s="15"/>
      <c r="G58" s="15">
        <f t="shared" ref="G58:H58" si="11">G57+1</f>
        <v>47</v>
      </c>
      <c r="H58" s="15">
        <f t="shared" si="11"/>
        <v>10</v>
      </c>
      <c r="I58" s="15">
        <f t="shared" si="10"/>
        <v>57</v>
      </c>
    </row>
    <row r="59" spans="1:11" ht="15.75" customHeight="1" x14ac:dyDescent="0.3">
      <c r="A59" s="39">
        <v>71</v>
      </c>
      <c r="B59" s="40">
        <v>12.005921247124158</v>
      </c>
      <c r="C59" s="41">
        <v>11.179690917753776</v>
      </c>
      <c r="F59" s="15"/>
      <c r="G59" s="15">
        <f t="shared" ref="G59:H59" si="12">G58+1</f>
        <v>48</v>
      </c>
      <c r="H59" s="15">
        <f t="shared" si="12"/>
        <v>11</v>
      </c>
      <c r="I59" s="15">
        <f t="shared" si="10"/>
        <v>59</v>
      </c>
    </row>
    <row r="60" spans="1:11" ht="15.75" customHeight="1" x14ac:dyDescent="0.3">
      <c r="F60" s="15"/>
      <c r="G60" s="15">
        <f t="shared" ref="G60:H60" si="13">G59+1</f>
        <v>49</v>
      </c>
      <c r="H60" s="15">
        <f t="shared" si="13"/>
        <v>12</v>
      </c>
      <c r="I60" s="15">
        <f t="shared" si="10"/>
        <v>61</v>
      </c>
    </row>
    <row r="61" spans="1:11" ht="15.75" customHeight="1" x14ac:dyDescent="0.3">
      <c r="F61" s="15"/>
      <c r="G61" s="15">
        <f t="shared" ref="G61:H61" si="14">G60+1</f>
        <v>50</v>
      </c>
      <c r="H61" s="15">
        <f t="shared" si="14"/>
        <v>13</v>
      </c>
      <c r="I61" s="15">
        <f t="shared" si="10"/>
        <v>63</v>
      </c>
    </row>
    <row r="62" spans="1:11" ht="15.75" customHeight="1" x14ac:dyDescent="0.3">
      <c r="F62" s="15"/>
      <c r="G62" s="15">
        <f t="shared" ref="G62:H62" si="15">G61+1</f>
        <v>51</v>
      </c>
      <c r="H62" s="15">
        <f t="shared" si="15"/>
        <v>14</v>
      </c>
      <c r="I62" s="15">
        <f t="shared" si="10"/>
        <v>65</v>
      </c>
    </row>
    <row r="63" spans="1:11" ht="15.75" customHeight="1" x14ac:dyDescent="0.3">
      <c r="F63" s="15"/>
      <c r="G63" s="15">
        <f t="shared" ref="G63:H63" si="16">G62+1</f>
        <v>52</v>
      </c>
      <c r="H63" s="15">
        <f t="shared" si="16"/>
        <v>15</v>
      </c>
      <c r="I63" s="15">
        <f t="shared" si="10"/>
        <v>67</v>
      </c>
    </row>
    <row r="64" spans="1:11" ht="15.75" customHeight="1" x14ac:dyDescent="0.3">
      <c r="G64" s="15">
        <f t="shared" ref="G64:H64" si="17">G63+1</f>
        <v>53</v>
      </c>
      <c r="H64" s="15">
        <f t="shared" si="17"/>
        <v>16</v>
      </c>
      <c r="I64" s="15">
        <f t="shared" si="10"/>
        <v>69</v>
      </c>
    </row>
    <row r="65" spans="7:9" ht="15.75" customHeight="1" x14ac:dyDescent="0.3">
      <c r="G65" s="15">
        <f t="shared" ref="G65:H65" si="18">G64+1</f>
        <v>54</v>
      </c>
      <c r="H65" s="15">
        <f t="shared" si="18"/>
        <v>17</v>
      </c>
      <c r="I65" s="15">
        <f t="shared" si="10"/>
        <v>71</v>
      </c>
    </row>
    <row r="66" spans="7:9" ht="15.75" customHeight="1" x14ac:dyDescent="0.3">
      <c r="G66" s="15">
        <f t="shared" ref="G66:H66" si="19">G65+1</f>
        <v>55</v>
      </c>
      <c r="H66" s="15">
        <f t="shared" si="19"/>
        <v>18</v>
      </c>
      <c r="I66" s="15">
        <f t="shared" si="10"/>
        <v>73</v>
      </c>
    </row>
    <row r="67" spans="7:9" ht="15.75" customHeight="1" x14ac:dyDescent="0.3">
      <c r="G67" s="55">
        <f t="shared" ref="G67:H67" si="20">G66+1</f>
        <v>56</v>
      </c>
      <c r="H67" s="56">
        <f t="shared" si="20"/>
        <v>19</v>
      </c>
      <c r="I67" s="57">
        <f t="shared" si="10"/>
        <v>75</v>
      </c>
    </row>
    <row r="68" spans="7:9" ht="15.75" customHeight="1" x14ac:dyDescent="0.3">
      <c r="G68" s="15">
        <f t="shared" ref="G68:H68" si="21">G67+1</f>
        <v>57</v>
      </c>
      <c r="H68" s="15">
        <f t="shared" si="21"/>
        <v>20</v>
      </c>
      <c r="I68" s="15">
        <f t="shared" si="10"/>
        <v>77</v>
      </c>
    </row>
    <row r="69" spans="7:9" ht="15.75" customHeight="1" x14ac:dyDescent="0.3">
      <c r="G69" s="15">
        <f t="shared" ref="G69:H69" si="22">G68+1</f>
        <v>58</v>
      </c>
      <c r="H69" s="15">
        <f t="shared" si="22"/>
        <v>21</v>
      </c>
      <c r="I69" s="15">
        <f t="shared" si="10"/>
        <v>79</v>
      </c>
    </row>
    <row r="70" spans="7:9" ht="15.75" customHeight="1" x14ac:dyDescent="0.3">
      <c r="G70" s="15">
        <f t="shared" ref="G70:H70" si="23">G69+1</f>
        <v>59</v>
      </c>
      <c r="H70" s="15">
        <f t="shared" si="23"/>
        <v>22</v>
      </c>
      <c r="I70" s="15">
        <f t="shared" si="10"/>
        <v>81</v>
      </c>
    </row>
    <row r="71" spans="7:9" ht="15.75" customHeight="1" x14ac:dyDescent="0.3">
      <c r="G71" s="15">
        <f t="shared" ref="G71:H71" si="24">G70+1</f>
        <v>60</v>
      </c>
      <c r="H71" s="15">
        <f t="shared" si="24"/>
        <v>23</v>
      </c>
      <c r="I71" s="15">
        <f t="shared" si="10"/>
        <v>83</v>
      </c>
    </row>
    <row r="72" spans="7:9" ht="15.75" customHeight="1" x14ac:dyDescent="0.3">
      <c r="G72" s="15">
        <f t="shared" ref="G72:H72" si="25">G71+1</f>
        <v>61</v>
      </c>
      <c r="H72" s="15">
        <f t="shared" si="25"/>
        <v>24</v>
      </c>
      <c r="I72" s="15">
        <f t="shared" si="10"/>
        <v>85</v>
      </c>
    </row>
    <row r="73" spans="7:9" ht="15.75" customHeight="1" x14ac:dyDescent="0.3">
      <c r="G73" s="15">
        <f t="shared" ref="G73:H73" si="26">G72+1</f>
        <v>62</v>
      </c>
      <c r="H73" s="15">
        <f t="shared" si="26"/>
        <v>25</v>
      </c>
      <c r="I73" s="15">
        <f t="shared" si="10"/>
        <v>87</v>
      </c>
    </row>
    <row r="74" spans="7:9" ht="15.75" customHeight="1" x14ac:dyDescent="0.3">
      <c r="G74" s="15">
        <f t="shared" ref="G74:H74" si="27">G73+1</f>
        <v>63</v>
      </c>
      <c r="H74" s="15">
        <f t="shared" si="27"/>
        <v>26</v>
      </c>
      <c r="I74" s="15">
        <f t="shared" si="10"/>
        <v>89</v>
      </c>
    </row>
    <row r="75" spans="7:9" ht="15.75" customHeight="1" x14ac:dyDescent="0.3">
      <c r="G75" s="15">
        <f t="shared" ref="G75:H75" si="28">G74+1</f>
        <v>64</v>
      </c>
      <c r="H75" s="15">
        <f t="shared" si="28"/>
        <v>27</v>
      </c>
      <c r="I75" s="15">
        <f t="shared" si="10"/>
        <v>91</v>
      </c>
    </row>
    <row r="76" spans="7:9" ht="15.75" customHeight="1" x14ac:dyDescent="0.3">
      <c r="G76" s="15">
        <f t="shared" ref="G76:H76" si="29">G75+1</f>
        <v>65</v>
      </c>
      <c r="H76" s="15">
        <f t="shared" si="29"/>
        <v>28</v>
      </c>
      <c r="I76" s="15">
        <f t="shared" si="10"/>
        <v>93</v>
      </c>
    </row>
  </sheetData>
  <mergeCells count="4">
    <mergeCell ref="G7:I7"/>
    <mergeCell ref="G19:I19"/>
    <mergeCell ref="A30:C30"/>
    <mergeCell ref="A31:C31"/>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0842-3CD2-4527-8891-C7E44E51C3D7}">
  <sheetPr>
    <tabColor theme="5" tint="0.39997558519241921"/>
  </sheetPr>
  <dimension ref="A1:B66"/>
  <sheetViews>
    <sheetView zoomScale="115" zoomScaleNormal="115" workbookViewId="0"/>
  </sheetViews>
  <sheetFormatPr defaultColWidth="12.5546875" defaultRowHeight="15" customHeight="1" x14ac:dyDescent="0.3"/>
  <cols>
    <col min="1" max="1" width="26.109375" style="2" customWidth="1"/>
    <col min="2" max="3" width="16.44140625" style="2" customWidth="1"/>
    <col min="4" max="4" width="12.5546875" style="2" customWidth="1"/>
    <col min="5" max="6" width="11.109375" style="2" customWidth="1"/>
    <col min="7" max="26" width="8.5546875" style="2" customWidth="1"/>
    <col min="27" max="16384" width="12.5546875" style="2"/>
  </cols>
  <sheetData>
    <row r="1" spans="1:2" ht="15" customHeight="1" x14ac:dyDescent="0.3">
      <c r="A1" s="2" t="s">
        <v>286</v>
      </c>
    </row>
    <row r="3" spans="1:2" ht="15" customHeight="1" x14ac:dyDescent="0.3">
      <c r="A3" s="13" t="s">
        <v>269</v>
      </c>
    </row>
    <row r="4" spans="1:2" ht="14.25" customHeight="1" x14ac:dyDescent="0.3">
      <c r="A4" s="2" t="s">
        <v>181</v>
      </c>
    </row>
    <row r="5" spans="1:2" ht="14.25" customHeight="1" x14ac:dyDescent="0.3"/>
    <row r="6" spans="1:2" ht="14.25" customHeight="1" x14ac:dyDescent="0.3">
      <c r="A6" s="1" t="s">
        <v>270</v>
      </c>
    </row>
    <row r="7" spans="1:2" ht="14.25" customHeight="1" x14ac:dyDescent="0.3"/>
    <row r="8" spans="1:2" ht="14.25" customHeight="1" x14ac:dyDescent="0.3">
      <c r="A8" s="2" t="s">
        <v>3</v>
      </c>
    </row>
    <row r="9" spans="1:2" ht="14.25" customHeight="1" x14ac:dyDescent="0.3">
      <c r="A9" s="2" t="s">
        <v>182</v>
      </c>
    </row>
    <row r="10" spans="1:2" ht="14.25" customHeight="1" x14ac:dyDescent="0.3">
      <c r="A10" s="2" t="s">
        <v>183</v>
      </c>
    </row>
    <row r="11" spans="1:2" ht="14.25" customHeight="1" x14ac:dyDescent="0.3"/>
    <row r="12" spans="1:2" ht="14.25" customHeight="1" x14ac:dyDescent="0.3"/>
    <row r="13" spans="1:2" ht="14.25" customHeight="1" x14ac:dyDescent="0.3">
      <c r="A13" s="2" t="s">
        <v>184</v>
      </c>
    </row>
    <row r="14" spans="1:2" ht="14.25" customHeight="1" x14ac:dyDescent="0.3"/>
    <row r="15" spans="1:2" ht="14.25" customHeight="1" x14ac:dyDescent="0.3">
      <c r="A15" s="2" t="s">
        <v>185</v>
      </c>
      <c r="B15" s="58" t="s">
        <v>186</v>
      </c>
    </row>
    <row r="16" spans="1:2" ht="14.25" customHeight="1" x14ac:dyDescent="0.3">
      <c r="A16" s="2" t="s">
        <v>187</v>
      </c>
      <c r="B16" s="59">
        <v>12700000</v>
      </c>
    </row>
    <row r="17" spans="1:2" ht="14.25" customHeight="1" x14ac:dyDescent="0.3">
      <c r="A17" s="47" t="s">
        <v>188</v>
      </c>
      <c r="B17" s="60">
        <v>13590000</v>
      </c>
    </row>
    <row r="18" spans="1:2" ht="14.25" customHeight="1" x14ac:dyDescent="0.3">
      <c r="A18" s="2" t="s">
        <v>189</v>
      </c>
      <c r="B18" s="59">
        <f>B16-B17</f>
        <v>-890000</v>
      </c>
    </row>
    <row r="19" spans="1:2" ht="14.25" customHeight="1" x14ac:dyDescent="0.3">
      <c r="A19" s="2" t="s">
        <v>190</v>
      </c>
      <c r="B19" s="59">
        <v>1200000</v>
      </c>
    </row>
    <row r="22" spans="1:2" ht="14.25" customHeight="1" x14ac:dyDescent="0.3">
      <c r="A22" s="2" t="s">
        <v>191</v>
      </c>
      <c r="B22" s="23"/>
    </row>
    <row r="23" spans="1:2" ht="14.25" customHeight="1" x14ac:dyDescent="0.3">
      <c r="A23" s="2" t="s">
        <v>192</v>
      </c>
      <c r="B23" s="23">
        <v>0.6</v>
      </c>
    </row>
    <row r="24" spans="1:2" ht="14.25" customHeight="1" x14ac:dyDescent="0.3">
      <c r="A24" s="2" t="s">
        <v>193</v>
      </c>
      <c r="B24" s="23">
        <f>1-B23</f>
        <v>0.4</v>
      </c>
    </row>
    <row r="25" spans="1:2" ht="14.25" customHeight="1" x14ac:dyDescent="0.3">
      <c r="A25" s="2" t="s">
        <v>194</v>
      </c>
      <c r="B25" s="61">
        <v>7.9</v>
      </c>
    </row>
    <row r="26" spans="1:2" ht="14.25" customHeight="1" x14ac:dyDescent="0.3">
      <c r="A26" s="2" t="s">
        <v>195</v>
      </c>
      <c r="B26" s="61">
        <v>12.7</v>
      </c>
    </row>
    <row r="27" spans="1:2" ht="14.25" customHeight="1" x14ac:dyDescent="0.3">
      <c r="A27" s="2" t="s">
        <v>196</v>
      </c>
      <c r="B27" s="61">
        <v>16.5</v>
      </c>
    </row>
    <row r="28" spans="1:2" ht="14.25" customHeight="1" x14ac:dyDescent="0.3"/>
    <row r="29" spans="1:2" ht="14.25" customHeight="1" x14ac:dyDescent="0.3"/>
    <row r="30" spans="1:2" ht="14.25" customHeight="1" x14ac:dyDescent="0.3">
      <c r="A30" s="2" t="s">
        <v>197</v>
      </c>
    </row>
    <row r="31" spans="1:2" ht="14.25" customHeight="1" x14ac:dyDescent="0.3">
      <c r="A31" s="13" t="s">
        <v>198</v>
      </c>
      <c r="B31" s="13" t="s">
        <v>199</v>
      </c>
    </row>
    <row r="32" spans="1:2" ht="14.25" customHeight="1" x14ac:dyDescent="0.3">
      <c r="A32" s="2" t="s">
        <v>58</v>
      </c>
      <c r="B32" s="2" t="s">
        <v>200</v>
      </c>
    </row>
    <row r="33" spans="1:2" ht="14.25" customHeight="1" x14ac:dyDescent="0.3">
      <c r="A33" s="2" t="s">
        <v>201</v>
      </c>
      <c r="B33" s="2" t="s">
        <v>202</v>
      </c>
    </row>
    <row r="34" spans="1:2" ht="14.25" customHeight="1" x14ac:dyDescent="0.3">
      <c r="A34" s="2" t="s">
        <v>203</v>
      </c>
      <c r="B34" s="2" t="s">
        <v>204</v>
      </c>
    </row>
    <row r="38" spans="1:2" ht="14.25" customHeight="1" x14ac:dyDescent="0.3">
      <c r="A38" s="1" t="s">
        <v>266</v>
      </c>
    </row>
    <row r="39" spans="1:2" ht="14.25" customHeight="1" x14ac:dyDescent="0.3">
      <c r="A39" s="1" t="s">
        <v>205</v>
      </c>
    </row>
    <row r="40" spans="1:2" ht="14.25" customHeight="1" x14ac:dyDescent="0.3"/>
    <row r="41" spans="1:2" ht="14.25" customHeight="1" x14ac:dyDescent="0.3"/>
    <row r="42" spans="1:2" ht="14.25" customHeight="1" x14ac:dyDescent="0.3">
      <c r="A42" s="1"/>
    </row>
    <row r="43" spans="1:2" ht="14.25" customHeight="1" x14ac:dyDescent="0.3"/>
    <row r="44" spans="1:2" ht="14.25" customHeight="1" x14ac:dyDescent="0.3">
      <c r="A44" s="91"/>
      <c r="B44" s="92"/>
    </row>
    <row r="60" spans="1:2" ht="14.25" customHeight="1" x14ac:dyDescent="0.3">
      <c r="A60" s="91"/>
      <c r="B60" s="92"/>
    </row>
    <row r="61" spans="1:2" ht="14.25" customHeight="1" x14ac:dyDescent="0.3">
      <c r="B61" s="59"/>
    </row>
    <row r="62" spans="1:2" ht="14.25" customHeight="1" x14ac:dyDescent="0.3">
      <c r="B62" s="62"/>
    </row>
    <row r="63" spans="1:2" ht="14.25" customHeight="1" x14ac:dyDescent="0.3">
      <c r="B63" s="62"/>
    </row>
    <row r="64" spans="1:2" ht="14.25" customHeight="1" x14ac:dyDescent="0.3"/>
    <row r="65" spans="1:2" ht="14.25" customHeight="1" x14ac:dyDescent="0.3"/>
    <row r="66" spans="1:2" ht="14.25" customHeight="1" x14ac:dyDescent="0.3">
      <c r="A66" s="91"/>
      <c r="B66" s="92"/>
    </row>
  </sheetData>
  <mergeCells count="3">
    <mergeCell ref="A44:B44"/>
    <mergeCell ref="A60:B60"/>
    <mergeCell ref="A66:B66"/>
  </mergeCell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E69"/>
  <sheetViews>
    <sheetView zoomScale="115" zoomScaleNormal="115" workbookViewId="0"/>
  </sheetViews>
  <sheetFormatPr defaultColWidth="12.5546875" defaultRowHeight="15" customHeight="1" x14ac:dyDescent="0.3"/>
  <cols>
    <col min="1" max="1" width="26.109375" style="2" customWidth="1"/>
    <col min="2" max="3" width="16.44140625" style="2" customWidth="1"/>
    <col min="4" max="4" width="12.5546875" style="2" customWidth="1"/>
    <col min="5" max="6" width="11.109375" style="2" customWidth="1"/>
    <col min="7" max="26" width="8.5546875" style="2" customWidth="1"/>
    <col min="27" max="16384" width="12.5546875" style="2"/>
  </cols>
  <sheetData>
    <row r="1" spans="1:2" ht="15" customHeight="1" x14ac:dyDescent="0.3">
      <c r="A1" s="2" t="s">
        <v>286</v>
      </c>
    </row>
    <row r="3" spans="1:2" ht="14.25" customHeight="1" x14ac:dyDescent="0.3">
      <c r="A3" s="1"/>
    </row>
    <row r="4" spans="1:2" ht="14.25" customHeight="1" x14ac:dyDescent="0.3"/>
    <row r="5" spans="1:2" ht="14.25" customHeight="1" x14ac:dyDescent="0.3">
      <c r="A5" s="1"/>
    </row>
    <row r="6" spans="1:2" ht="14.25" customHeight="1" x14ac:dyDescent="0.3">
      <c r="A6" s="1"/>
    </row>
    <row r="7" spans="1:2" ht="14.25" customHeight="1" x14ac:dyDescent="0.3">
      <c r="A7" s="1" t="s">
        <v>271</v>
      </c>
    </row>
    <row r="8" spans="1:2" ht="14.25" customHeight="1" x14ac:dyDescent="0.3"/>
    <row r="9" spans="1:2" ht="14.25" customHeight="1" x14ac:dyDescent="0.3">
      <c r="A9" s="2" t="s">
        <v>185</v>
      </c>
      <c r="B9" s="58" t="s">
        <v>186</v>
      </c>
    </row>
    <row r="10" spans="1:2" ht="14.25" customHeight="1" x14ac:dyDescent="0.3">
      <c r="A10" s="2" t="s">
        <v>187</v>
      </c>
      <c r="B10" s="59">
        <v>12700000</v>
      </c>
    </row>
    <row r="11" spans="1:2" ht="14.25" customHeight="1" x14ac:dyDescent="0.3">
      <c r="A11" s="47" t="s">
        <v>188</v>
      </c>
      <c r="B11" s="60">
        <v>13590000</v>
      </c>
    </row>
    <row r="12" spans="1:2" ht="14.25" customHeight="1" x14ac:dyDescent="0.3">
      <c r="A12" s="2" t="s">
        <v>189</v>
      </c>
      <c r="B12" s="59">
        <f>B10-B11</f>
        <v>-890000</v>
      </c>
    </row>
    <row r="13" spans="1:2" ht="14.25" customHeight="1" x14ac:dyDescent="0.3">
      <c r="A13" s="2" t="s">
        <v>190</v>
      </c>
      <c r="B13" s="59">
        <v>1200000</v>
      </c>
    </row>
    <row r="14" spans="1:2" ht="14.25" customHeight="1" x14ac:dyDescent="0.3">
      <c r="B14" s="59"/>
    </row>
    <row r="15" spans="1:2" ht="14.25" customHeight="1" x14ac:dyDescent="0.3">
      <c r="B15" s="23"/>
    </row>
    <row r="16" spans="1:2" ht="14.25" customHeight="1" x14ac:dyDescent="0.3">
      <c r="A16" s="2" t="s">
        <v>191</v>
      </c>
      <c r="B16" s="23"/>
    </row>
    <row r="17" spans="1:2" ht="14.25" customHeight="1" x14ac:dyDescent="0.3">
      <c r="A17" s="2" t="s">
        <v>192</v>
      </c>
      <c r="B17" s="23">
        <v>0.6</v>
      </c>
    </row>
    <row r="18" spans="1:2" ht="14.25" customHeight="1" x14ac:dyDescent="0.3">
      <c r="A18" s="2" t="s">
        <v>193</v>
      </c>
      <c r="B18" s="23">
        <f>1-B17</f>
        <v>0.4</v>
      </c>
    </row>
    <row r="19" spans="1:2" ht="14.25" customHeight="1" x14ac:dyDescent="0.3">
      <c r="A19" s="2" t="s">
        <v>194</v>
      </c>
      <c r="B19" s="61">
        <v>7.9</v>
      </c>
    </row>
    <row r="20" spans="1:2" ht="14.25" customHeight="1" x14ac:dyDescent="0.3">
      <c r="A20" s="2" t="s">
        <v>195</v>
      </c>
      <c r="B20" s="61">
        <v>12.7</v>
      </c>
    </row>
    <row r="21" spans="1:2" ht="14.25" customHeight="1" x14ac:dyDescent="0.3">
      <c r="A21" s="2" t="s">
        <v>196</v>
      </c>
      <c r="B21" s="61">
        <v>16.5</v>
      </c>
    </row>
    <row r="22" spans="1:2" ht="14.25" customHeight="1" x14ac:dyDescent="0.3"/>
    <row r="23" spans="1:2" ht="14.25" customHeight="1" x14ac:dyDescent="0.3">
      <c r="A23" s="13" t="s">
        <v>198</v>
      </c>
      <c r="B23" s="13" t="s">
        <v>199</v>
      </c>
    </row>
    <row r="24" spans="1:2" ht="14.25" customHeight="1" x14ac:dyDescent="0.3">
      <c r="A24" s="2" t="s">
        <v>58</v>
      </c>
      <c r="B24" s="2" t="s">
        <v>200</v>
      </c>
    </row>
    <row r="25" spans="1:2" ht="14.25" customHeight="1" x14ac:dyDescent="0.3">
      <c r="A25" s="2" t="s">
        <v>201</v>
      </c>
      <c r="B25" s="2" t="s">
        <v>202</v>
      </c>
    </row>
    <row r="26" spans="1:2" ht="14.25" customHeight="1" x14ac:dyDescent="0.3">
      <c r="A26" s="2" t="s">
        <v>203</v>
      </c>
      <c r="B26" s="2" t="s">
        <v>204</v>
      </c>
    </row>
    <row r="27" spans="1:2" ht="14.25" customHeight="1" x14ac:dyDescent="0.3"/>
    <row r="28" spans="1:2" ht="14.25" customHeight="1" x14ac:dyDescent="0.3"/>
    <row r="29" spans="1:2" ht="14.25" customHeight="1" x14ac:dyDescent="0.3">
      <c r="A29" s="1"/>
    </row>
    <row r="30" spans="1:2" ht="14.25" customHeight="1" x14ac:dyDescent="0.3"/>
    <row r="31" spans="1:2" ht="14.25" customHeight="1" x14ac:dyDescent="0.3">
      <c r="A31" s="91" t="s">
        <v>206</v>
      </c>
      <c r="B31" s="92"/>
    </row>
    <row r="32" spans="1:2" ht="14.25" customHeight="1" x14ac:dyDescent="0.3">
      <c r="A32" s="2" t="s">
        <v>207</v>
      </c>
      <c r="B32" s="59">
        <f>B10</f>
        <v>12700000</v>
      </c>
    </row>
    <row r="33" spans="1:2" ht="14.25" customHeight="1" x14ac:dyDescent="0.3">
      <c r="A33" s="47" t="s">
        <v>208</v>
      </c>
      <c r="B33" s="60">
        <f>B19*(0.01*0.4)*B32</f>
        <v>401320.00000000006</v>
      </c>
    </row>
    <row r="34" spans="1:2" ht="14.25" customHeight="1" x14ac:dyDescent="0.3">
      <c r="A34" s="2" t="s">
        <v>209</v>
      </c>
      <c r="B34" s="59">
        <f>B33+B32</f>
        <v>13101320</v>
      </c>
    </row>
    <row r="37" spans="1:2" ht="14.25" customHeight="1" x14ac:dyDescent="0.3">
      <c r="A37" s="2" t="s">
        <v>210</v>
      </c>
      <c r="B37" s="59">
        <f>B11</f>
        <v>13590000</v>
      </c>
    </row>
    <row r="38" spans="1:2" ht="14.25" customHeight="1" x14ac:dyDescent="0.3">
      <c r="A38" s="47" t="s">
        <v>208</v>
      </c>
      <c r="B38" s="60">
        <f>(B20*0.6/100)*B37</f>
        <v>1035557.9999999999</v>
      </c>
    </row>
    <row r="39" spans="1:2" ht="14.25" customHeight="1" x14ac:dyDescent="0.3">
      <c r="A39" s="2" t="s">
        <v>211</v>
      </c>
      <c r="B39" s="59">
        <f>B38+B37</f>
        <v>14625558</v>
      </c>
    </row>
    <row r="40" spans="1:2" ht="14.25" customHeight="1" x14ac:dyDescent="0.3"/>
    <row r="41" spans="1:2" ht="14.25" customHeight="1" x14ac:dyDescent="0.3"/>
    <row r="42" spans="1:2" ht="14.25" customHeight="1" x14ac:dyDescent="0.3">
      <c r="A42" s="2" t="s">
        <v>190</v>
      </c>
      <c r="B42" s="59">
        <f>B13</f>
        <v>1200000</v>
      </c>
    </row>
    <row r="43" spans="1:2" ht="14.25" customHeight="1" x14ac:dyDescent="0.3">
      <c r="A43" s="47" t="s">
        <v>208</v>
      </c>
      <c r="B43" s="60">
        <f>(B21*0.6/100)*B42</f>
        <v>118800</v>
      </c>
    </row>
    <row r="44" spans="1:2" ht="14.25" customHeight="1" x14ac:dyDescent="0.3">
      <c r="A44" s="2" t="s">
        <v>212</v>
      </c>
      <c r="B44" s="59">
        <f>B43+B42</f>
        <v>1318800</v>
      </c>
    </row>
    <row r="45" spans="1:2" ht="14.25" customHeight="1" x14ac:dyDescent="0.3"/>
    <row r="46" spans="1:2" ht="14.25" customHeight="1" x14ac:dyDescent="0.3"/>
    <row r="47" spans="1:2" ht="14.25" customHeight="1" x14ac:dyDescent="0.3">
      <c r="A47" s="91" t="s">
        <v>213</v>
      </c>
      <c r="B47" s="92"/>
    </row>
    <row r="48" spans="1:2" ht="14.25" customHeight="1" x14ac:dyDescent="0.3">
      <c r="A48" s="2" t="s">
        <v>207</v>
      </c>
      <c r="B48" s="59">
        <f>B32</f>
        <v>12700000</v>
      </c>
    </row>
    <row r="49" spans="1:2" ht="14.25" customHeight="1" x14ac:dyDescent="0.3">
      <c r="A49" s="47" t="s">
        <v>208</v>
      </c>
      <c r="B49" s="63">
        <f>-B17*0.2*B48</f>
        <v>-1524000</v>
      </c>
    </row>
    <row r="50" spans="1:2" ht="14.25" customHeight="1" x14ac:dyDescent="0.3">
      <c r="A50" s="2" t="s">
        <v>214</v>
      </c>
      <c r="B50" s="62">
        <f>B49+B48</f>
        <v>11176000</v>
      </c>
    </row>
    <row r="53" spans="1:2" ht="14.25" customHeight="1" x14ac:dyDescent="0.3">
      <c r="A53" s="91" t="s">
        <v>203</v>
      </c>
      <c r="B53" s="92"/>
    </row>
    <row r="54" spans="1:2" ht="14.25" customHeight="1" x14ac:dyDescent="0.3">
      <c r="A54" s="2" t="s">
        <v>210</v>
      </c>
      <c r="B54" s="59">
        <f>B37</f>
        <v>13590000</v>
      </c>
    </row>
    <row r="55" spans="1:2" ht="14.25" customHeight="1" x14ac:dyDescent="0.3">
      <c r="A55" s="47" t="s">
        <v>208</v>
      </c>
      <c r="B55" s="63">
        <f>B54*0.05</f>
        <v>679500</v>
      </c>
    </row>
    <row r="56" spans="1:2" ht="14.25" customHeight="1" x14ac:dyDescent="0.3">
      <c r="A56" s="2" t="s">
        <v>214</v>
      </c>
      <c r="B56" s="62">
        <f>B55+B54</f>
        <v>14269500</v>
      </c>
    </row>
    <row r="57" spans="1:2" ht="14.25" customHeight="1" x14ac:dyDescent="0.3"/>
    <row r="58" spans="1:2" ht="14.25" customHeight="1" x14ac:dyDescent="0.3">
      <c r="A58" s="2" t="s">
        <v>190</v>
      </c>
      <c r="B58" s="59">
        <f>B42</f>
        <v>1200000</v>
      </c>
    </row>
    <row r="59" spans="1:2" ht="14.25" customHeight="1" x14ac:dyDescent="0.3">
      <c r="A59" s="47" t="s">
        <v>208</v>
      </c>
      <c r="B59" s="60">
        <f>B58*0.05</f>
        <v>60000</v>
      </c>
    </row>
    <row r="60" spans="1:2" ht="14.25" customHeight="1" x14ac:dyDescent="0.3">
      <c r="A60" s="2" t="s">
        <v>212</v>
      </c>
      <c r="B60" s="59">
        <f>B59+B58</f>
        <v>1260000</v>
      </c>
    </row>
    <row r="61" spans="1:2" ht="14.25" customHeight="1" x14ac:dyDescent="0.3"/>
    <row r="62" spans="1:2" ht="14.25" customHeight="1" x14ac:dyDescent="0.3"/>
    <row r="63" spans="1:2" ht="14.25" customHeight="1" x14ac:dyDescent="0.3"/>
    <row r="64" spans="1:2" ht="14.25" customHeight="1" x14ac:dyDescent="0.3">
      <c r="A64" s="2" t="s">
        <v>215</v>
      </c>
    </row>
    <row r="65" spans="1:5" ht="14.25" customHeight="1" x14ac:dyDescent="0.3">
      <c r="A65" s="64" t="s">
        <v>216</v>
      </c>
      <c r="B65" s="65" t="s">
        <v>217</v>
      </c>
      <c r="C65" s="66" t="s">
        <v>58</v>
      </c>
      <c r="D65" s="66" t="s">
        <v>213</v>
      </c>
      <c r="E65" s="66" t="s">
        <v>203</v>
      </c>
    </row>
    <row r="66" spans="1:5" ht="14.25" customHeight="1" x14ac:dyDescent="0.3">
      <c r="A66" s="2" t="s">
        <v>187</v>
      </c>
      <c r="B66" s="67">
        <v>12700000</v>
      </c>
      <c r="C66" s="67">
        <f>B34</f>
        <v>13101320</v>
      </c>
      <c r="D66" s="68">
        <f>B50</f>
        <v>11176000</v>
      </c>
      <c r="E66" s="68">
        <f>B66</f>
        <v>12700000</v>
      </c>
    </row>
    <row r="67" spans="1:5" ht="14.25" customHeight="1" x14ac:dyDescent="0.3">
      <c r="A67" s="47" t="s">
        <v>188</v>
      </c>
      <c r="B67" s="69">
        <v>13590000</v>
      </c>
      <c r="C67" s="69">
        <f>B39</f>
        <v>14625558</v>
      </c>
      <c r="D67" s="69">
        <f>B67</f>
        <v>13590000</v>
      </c>
      <c r="E67" s="70">
        <f>B56</f>
        <v>14269500</v>
      </c>
    </row>
    <row r="68" spans="1:5" ht="14.25" customHeight="1" x14ac:dyDescent="0.3">
      <c r="A68" s="2" t="s">
        <v>189</v>
      </c>
      <c r="B68" s="67">
        <f t="shared" ref="B68:E68" si="0">B66-B67</f>
        <v>-890000</v>
      </c>
      <c r="C68" s="67">
        <f t="shared" si="0"/>
        <v>-1524238</v>
      </c>
      <c r="D68" s="67">
        <f t="shared" si="0"/>
        <v>-2414000</v>
      </c>
      <c r="E68" s="67">
        <f t="shared" si="0"/>
        <v>-1569500</v>
      </c>
    </row>
    <row r="69" spans="1:5" ht="14.25" customHeight="1" x14ac:dyDescent="0.3">
      <c r="A69" s="2" t="s">
        <v>190</v>
      </c>
      <c r="B69" s="67">
        <v>1200000</v>
      </c>
      <c r="C69" s="67">
        <f>B44</f>
        <v>1318800</v>
      </c>
      <c r="D69" s="67">
        <f>B69</f>
        <v>1200000</v>
      </c>
      <c r="E69" s="67">
        <f>B60</f>
        <v>1260000</v>
      </c>
    </row>
  </sheetData>
  <mergeCells count="3">
    <mergeCell ref="A31:B31"/>
    <mergeCell ref="A47:B47"/>
    <mergeCell ref="A53:B53"/>
  </mergeCell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675D3-FEE2-429C-9096-45EE1382513A}">
  <sheetPr>
    <tabColor theme="5" tint="0.39997558519241921"/>
    <outlinePr summaryBelow="0" summaryRight="0"/>
  </sheetPr>
  <dimension ref="A1:B34"/>
  <sheetViews>
    <sheetView zoomScale="115" zoomScaleNormal="115" workbookViewId="0"/>
  </sheetViews>
  <sheetFormatPr defaultColWidth="12.5546875" defaultRowHeight="15" customHeight="1" x14ac:dyDescent="0.3"/>
  <cols>
    <col min="1" max="1" width="31.109375" style="2" customWidth="1"/>
    <col min="2" max="2" width="23.6640625" style="2" customWidth="1"/>
    <col min="3" max="3" width="17.6640625" style="2" customWidth="1"/>
    <col min="4" max="4" width="15" style="2" customWidth="1"/>
    <col min="5" max="16384" width="12.5546875" style="2"/>
  </cols>
  <sheetData>
    <row r="1" spans="1:2" ht="15" customHeight="1" x14ac:dyDescent="0.3">
      <c r="A1" s="2" t="s">
        <v>286</v>
      </c>
    </row>
    <row r="3" spans="1:2" ht="14.4" x14ac:dyDescent="0.3">
      <c r="A3" s="13" t="s">
        <v>269</v>
      </c>
    </row>
    <row r="4" spans="1:2" ht="14.4" x14ac:dyDescent="0.3">
      <c r="A4" s="2" t="s">
        <v>181</v>
      </c>
    </row>
    <row r="5" spans="1:2" ht="14.4" x14ac:dyDescent="0.3"/>
    <row r="6" spans="1:2" ht="14.4" x14ac:dyDescent="0.3">
      <c r="A6" s="2" t="s">
        <v>0</v>
      </c>
    </row>
    <row r="7" spans="1:2" ht="14.4" x14ac:dyDescent="0.3">
      <c r="A7" s="2" t="s">
        <v>218</v>
      </c>
    </row>
    <row r="8" spans="1:2" ht="14.4" x14ac:dyDescent="0.3">
      <c r="A8" s="2" t="s">
        <v>219</v>
      </c>
    </row>
    <row r="9" spans="1:2" ht="14.4" x14ac:dyDescent="0.3">
      <c r="A9" s="2" t="s">
        <v>220</v>
      </c>
    </row>
    <row r="10" spans="1:2" ht="14.4" x14ac:dyDescent="0.3">
      <c r="A10" s="2" t="s">
        <v>221</v>
      </c>
    </row>
    <row r="11" spans="1:2" ht="14.4" x14ac:dyDescent="0.3"/>
    <row r="12" spans="1:2" ht="14.4" x14ac:dyDescent="0.3"/>
    <row r="13" spans="1:2" ht="14.4" x14ac:dyDescent="0.3">
      <c r="A13" s="2" t="s">
        <v>222</v>
      </c>
    </row>
    <row r="14" spans="1:2" ht="14.4" x14ac:dyDescent="0.3"/>
    <row r="15" spans="1:2" ht="14.4" x14ac:dyDescent="0.3"/>
    <row r="16" spans="1:2" ht="14.4" x14ac:dyDescent="0.3">
      <c r="A16" s="2" t="s">
        <v>223</v>
      </c>
      <c r="B16" s="23">
        <v>0.4</v>
      </c>
    </row>
    <row r="17" spans="1:2" ht="14.4" x14ac:dyDescent="0.3">
      <c r="A17" s="2" t="s">
        <v>224</v>
      </c>
      <c r="B17" s="23">
        <v>0.6</v>
      </c>
    </row>
    <row r="18" spans="1:2" ht="14.4" x14ac:dyDescent="0.3">
      <c r="A18" s="2" t="s">
        <v>225</v>
      </c>
      <c r="B18" s="59">
        <v>12</v>
      </c>
    </row>
    <row r="19" spans="1:2" ht="14.4" x14ac:dyDescent="0.3">
      <c r="A19" s="2" t="s">
        <v>226</v>
      </c>
      <c r="B19" s="23">
        <v>0.04</v>
      </c>
    </row>
    <row r="20" spans="1:2" ht="14.4" x14ac:dyDescent="0.3">
      <c r="A20" s="2" t="s">
        <v>227</v>
      </c>
      <c r="B20" s="59">
        <v>6</v>
      </c>
    </row>
    <row r="21" spans="1:2" ht="14.4" x14ac:dyDescent="0.3"/>
    <row r="22" spans="1:2" ht="14.4" x14ac:dyDescent="0.3">
      <c r="A22" s="2" t="s">
        <v>228</v>
      </c>
    </row>
    <row r="23" spans="1:2" ht="14.4" x14ac:dyDescent="0.3">
      <c r="A23" s="13"/>
      <c r="B23" s="19"/>
    </row>
    <row r="24" spans="1:2" ht="14.4" x14ac:dyDescent="0.3">
      <c r="A24" s="13" t="s">
        <v>229</v>
      </c>
      <c r="B24" s="19"/>
    </row>
    <row r="25" spans="1:2" ht="14.4" x14ac:dyDescent="0.3">
      <c r="A25" s="30" t="s">
        <v>230</v>
      </c>
      <c r="B25" s="19">
        <v>1.4999999999999999E-2</v>
      </c>
    </row>
    <row r="26" spans="1:2" ht="28.8" x14ac:dyDescent="0.3">
      <c r="A26" s="71" t="s">
        <v>231</v>
      </c>
      <c r="B26" s="19">
        <v>0.15</v>
      </c>
    </row>
    <row r="27" spans="1:2" ht="16.5" customHeight="1" x14ac:dyDescent="0.3">
      <c r="A27" s="30" t="s">
        <v>232</v>
      </c>
      <c r="B27" s="19">
        <v>0.01</v>
      </c>
    </row>
    <row r="28" spans="1:2" ht="28.8" x14ac:dyDescent="0.3">
      <c r="A28" s="71" t="s">
        <v>233</v>
      </c>
      <c r="B28" s="19">
        <v>3.3000000000000002E-2</v>
      </c>
    </row>
    <row r="29" spans="1:2" ht="14.4" x14ac:dyDescent="0.3">
      <c r="A29" s="30" t="s">
        <v>234</v>
      </c>
      <c r="B29" s="19">
        <v>0.06</v>
      </c>
    </row>
    <row r="30" spans="1:2" ht="14.4" x14ac:dyDescent="0.3">
      <c r="B30" s="19"/>
    </row>
    <row r="31" spans="1:2" ht="14.4" x14ac:dyDescent="0.3">
      <c r="A31" s="13" t="s">
        <v>235</v>
      </c>
      <c r="B31" s="19"/>
    </row>
    <row r="32" spans="1:2" ht="14.4" x14ac:dyDescent="0.3">
      <c r="A32" s="2" t="s">
        <v>236</v>
      </c>
      <c r="B32" s="19">
        <v>-0.18</v>
      </c>
    </row>
    <row r="34" spans="1:1" ht="14.4" x14ac:dyDescent="0.3">
      <c r="A34" s="1" t="s">
        <v>267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outlinePr summaryBelow="0" summaryRight="0"/>
  </sheetPr>
  <dimension ref="A1:D49"/>
  <sheetViews>
    <sheetView zoomScale="115" zoomScaleNormal="115" workbookViewId="0"/>
  </sheetViews>
  <sheetFormatPr defaultColWidth="12.5546875" defaultRowHeight="15" customHeight="1" x14ac:dyDescent="0.3"/>
  <cols>
    <col min="1" max="1" width="31.109375" style="2" customWidth="1"/>
    <col min="2" max="2" width="23.6640625" style="2" customWidth="1"/>
    <col min="3" max="3" width="17.6640625" style="2" customWidth="1"/>
    <col min="4" max="4" width="15" style="2" customWidth="1"/>
    <col min="5" max="16384" width="12.5546875" style="2"/>
  </cols>
  <sheetData>
    <row r="1" spans="1:2" ht="15" customHeight="1" x14ac:dyDescent="0.3">
      <c r="A1" s="2" t="s">
        <v>286</v>
      </c>
    </row>
    <row r="3" spans="1:2" ht="14.4" x14ac:dyDescent="0.3">
      <c r="A3" s="1"/>
    </row>
    <row r="4" spans="1:2" ht="14.4" x14ac:dyDescent="0.3"/>
    <row r="5" spans="1:2" ht="14.4" x14ac:dyDescent="0.3">
      <c r="A5" s="1"/>
    </row>
    <row r="6" spans="1:2" ht="14.4" x14ac:dyDescent="0.3"/>
    <row r="7" spans="1:2" ht="14.4" x14ac:dyDescent="0.3">
      <c r="A7" s="2" t="s">
        <v>223</v>
      </c>
      <c r="B7" s="23">
        <v>0.4</v>
      </c>
    </row>
    <row r="8" spans="1:2" ht="14.4" x14ac:dyDescent="0.3">
      <c r="A8" s="2" t="s">
        <v>224</v>
      </c>
      <c r="B8" s="23">
        <v>0.6</v>
      </c>
    </row>
    <row r="9" spans="1:2" ht="14.4" x14ac:dyDescent="0.3">
      <c r="A9" s="2" t="s">
        <v>225</v>
      </c>
      <c r="B9" s="59">
        <v>12</v>
      </c>
    </row>
    <row r="10" spans="1:2" ht="14.4" x14ac:dyDescent="0.3">
      <c r="A10" s="2" t="s">
        <v>226</v>
      </c>
      <c r="B10" s="23">
        <v>0.04</v>
      </c>
    </row>
    <row r="11" spans="1:2" ht="14.4" x14ac:dyDescent="0.3">
      <c r="A11" s="2" t="s">
        <v>227</v>
      </c>
      <c r="B11" s="59">
        <v>6</v>
      </c>
    </row>
    <row r="12" spans="1:2" ht="14.4" x14ac:dyDescent="0.3"/>
    <row r="13" spans="1:2" ht="14.4" x14ac:dyDescent="0.3">
      <c r="A13" s="13"/>
      <c r="B13" s="19"/>
    </row>
    <row r="14" spans="1:2" ht="14.4" x14ac:dyDescent="0.3">
      <c r="A14" s="13" t="s">
        <v>229</v>
      </c>
      <c r="B14" s="19"/>
    </row>
    <row r="15" spans="1:2" ht="14.4" x14ac:dyDescent="0.3">
      <c r="A15" s="30" t="s">
        <v>230</v>
      </c>
      <c r="B15" s="19">
        <v>1.4999999999999999E-2</v>
      </c>
    </row>
    <row r="16" spans="1:2" ht="28.8" x14ac:dyDescent="0.3">
      <c r="A16" s="71" t="s">
        <v>231</v>
      </c>
      <c r="B16" s="19">
        <v>0.15</v>
      </c>
    </row>
    <row r="17" spans="1:2" ht="16.5" customHeight="1" x14ac:dyDescent="0.3">
      <c r="A17" s="30" t="s">
        <v>232</v>
      </c>
      <c r="B17" s="19">
        <v>0.01</v>
      </c>
    </row>
    <row r="18" spans="1:2" ht="28.8" x14ac:dyDescent="0.3">
      <c r="A18" s="71" t="s">
        <v>233</v>
      </c>
      <c r="B18" s="19">
        <v>3.3000000000000002E-2</v>
      </c>
    </row>
    <row r="19" spans="1:2" ht="14.4" x14ac:dyDescent="0.3">
      <c r="A19" s="30" t="s">
        <v>234</v>
      </c>
      <c r="B19" s="19">
        <v>0.06</v>
      </c>
    </row>
    <row r="20" spans="1:2" ht="14.4" x14ac:dyDescent="0.3">
      <c r="B20" s="19"/>
    </row>
    <row r="21" spans="1:2" ht="14.4" x14ac:dyDescent="0.3">
      <c r="A21" s="13" t="s">
        <v>235</v>
      </c>
      <c r="B21" s="19"/>
    </row>
    <row r="22" spans="1:2" ht="14.4" x14ac:dyDescent="0.3">
      <c r="A22" s="2" t="s">
        <v>236</v>
      </c>
      <c r="B22" s="19">
        <v>-0.18</v>
      </c>
    </row>
    <row r="23" spans="1:2" ht="14.4" x14ac:dyDescent="0.3">
      <c r="B23" s="19"/>
    </row>
    <row r="24" spans="1:2" ht="14.4" x14ac:dyDescent="0.3">
      <c r="A24" s="1"/>
      <c r="B24" s="59"/>
    </row>
    <row r="25" spans="1:2" ht="14.4" x14ac:dyDescent="0.3">
      <c r="A25" s="1" t="s">
        <v>268</v>
      </c>
      <c r="B25" s="59"/>
    </row>
    <row r="26" spans="1:2" ht="14.4" x14ac:dyDescent="0.3">
      <c r="A26" s="1"/>
      <c r="B26" s="59"/>
    </row>
    <row r="27" spans="1:2" ht="14.4" x14ac:dyDescent="0.3">
      <c r="A27" s="2" t="s">
        <v>237</v>
      </c>
      <c r="B27" s="59">
        <f>B46*B7</f>
        <v>4000000</v>
      </c>
    </row>
    <row r="28" spans="1:2" ht="14.4" x14ac:dyDescent="0.3">
      <c r="A28" s="13" t="s">
        <v>208</v>
      </c>
      <c r="B28" s="72">
        <f>-(B46*B7)*(B11*B17)</f>
        <v>-240000</v>
      </c>
    </row>
    <row r="29" spans="1:2" ht="14.4" x14ac:dyDescent="0.3">
      <c r="A29" s="2" t="s">
        <v>238</v>
      </c>
      <c r="B29" s="59">
        <f>B28+B27</f>
        <v>3760000</v>
      </c>
    </row>
    <row r="30" spans="1:2" ht="14.4" x14ac:dyDescent="0.3">
      <c r="A30" s="2" t="s">
        <v>239</v>
      </c>
      <c r="B30" s="59">
        <f>B46-B27</f>
        <v>6000000</v>
      </c>
    </row>
    <row r="31" spans="1:2" ht="14.4" x14ac:dyDescent="0.3">
      <c r="A31" s="13" t="s">
        <v>208</v>
      </c>
      <c r="B31" s="72">
        <f>-B30*B18</f>
        <v>-198000</v>
      </c>
    </row>
    <row r="32" spans="1:2" ht="14.4" x14ac:dyDescent="0.3">
      <c r="A32" s="2" t="s">
        <v>240</v>
      </c>
      <c r="B32" s="59">
        <f>B31+B30</f>
        <v>5802000</v>
      </c>
    </row>
    <row r="33" spans="1:4" ht="14.4" x14ac:dyDescent="0.3">
      <c r="A33" s="2" t="s">
        <v>241</v>
      </c>
      <c r="B33" s="59">
        <f>B32+B29</f>
        <v>9562000</v>
      </c>
    </row>
    <row r="36" spans="1:4" ht="14.4" x14ac:dyDescent="0.3">
      <c r="A36" s="2" t="s">
        <v>242</v>
      </c>
      <c r="B36" s="59">
        <f>B47</f>
        <v>11000000</v>
      </c>
    </row>
    <row r="37" spans="1:4" ht="14.4" x14ac:dyDescent="0.3">
      <c r="A37" s="13" t="s">
        <v>243</v>
      </c>
      <c r="B37" s="72">
        <f>B36*B16</f>
        <v>1650000</v>
      </c>
    </row>
    <row r="38" spans="1:4" ht="14.4" x14ac:dyDescent="0.3">
      <c r="A38" s="2" t="s">
        <v>244</v>
      </c>
      <c r="B38" s="59">
        <f>B37+B36</f>
        <v>12650000</v>
      </c>
    </row>
    <row r="39" spans="1:4" ht="14.4" x14ac:dyDescent="0.3">
      <c r="A39" s="2" t="s">
        <v>245</v>
      </c>
      <c r="B39" s="19">
        <f>((-B9*B17/(1+B10)))</f>
        <v>-0.11538461538461538</v>
      </c>
    </row>
    <row r="40" spans="1:4" ht="14.4" x14ac:dyDescent="0.3">
      <c r="A40" s="13" t="s">
        <v>246</v>
      </c>
      <c r="B40" s="72">
        <f>B39*B38</f>
        <v>-1459615.3846153845</v>
      </c>
    </row>
    <row r="41" spans="1:4" ht="14.4" x14ac:dyDescent="0.3">
      <c r="A41" s="2" t="s">
        <v>247</v>
      </c>
      <c r="B41" s="59">
        <f>B40+B38</f>
        <v>11190384.615384616</v>
      </c>
    </row>
    <row r="42" spans="1:4" ht="14.4" x14ac:dyDescent="0.3"/>
    <row r="43" spans="1:4" ht="14.4" x14ac:dyDescent="0.3"/>
    <row r="44" spans="1:4" ht="14.4" x14ac:dyDescent="0.3"/>
    <row r="45" spans="1:4" ht="14.4" x14ac:dyDescent="0.3">
      <c r="A45" s="73" t="s">
        <v>248</v>
      </c>
      <c r="B45" s="58" t="s">
        <v>186</v>
      </c>
      <c r="C45" s="74" t="s">
        <v>249</v>
      </c>
      <c r="D45" s="75" t="s">
        <v>250</v>
      </c>
    </row>
    <row r="46" spans="1:4" ht="14.4" x14ac:dyDescent="0.3">
      <c r="A46" s="24" t="s">
        <v>251</v>
      </c>
      <c r="B46" s="59">
        <v>10000000</v>
      </c>
      <c r="C46" s="59">
        <f>B33</f>
        <v>9562000</v>
      </c>
      <c r="D46" s="59">
        <f>B46*(1+B22)</f>
        <v>8200000.0000000009</v>
      </c>
    </row>
    <row r="47" spans="1:4" ht="14.4" x14ac:dyDescent="0.3">
      <c r="A47" s="24" t="s">
        <v>252</v>
      </c>
      <c r="B47" s="59">
        <v>11000000</v>
      </c>
      <c r="C47" s="59">
        <f>B41</f>
        <v>11190384.615384616</v>
      </c>
      <c r="D47" s="59">
        <f>C47</f>
        <v>11190384.615384616</v>
      </c>
    </row>
    <row r="48" spans="1:4" ht="14.4" x14ac:dyDescent="0.3">
      <c r="A48" s="24" t="s">
        <v>253</v>
      </c>
      <c r="B48" s="59">
        <f t="shared" ref="B48:D48" si="0">B46-B47</f>
        <v>-1000000</v>
      </c>
      <c r="C48" s="59">
        <f t="shared" si="0"/>
        <v>-1628384.615384616</v>
      </c>
      <c r="D48" s="59">
        <f t="shared" si="0"/>
        <v>-2990384.615384615</v>
      </c>
    </row>
    <row r="49" spans="1:4" ht="14.4" x14ac:dyDescent="0.3">
      <c r="A49" s="24" t="s">
        <v>190</v>
      </c>
      <c r="B49" s="59">
        <v>1500000</v>
      </c>
      <c r="C49" s="59">
        <f>B49*(1+B19)</f>
        <v>1590000</v>
      </c>
      <c r="D49" s="59">
        <f>C49</f>
        <v>1590000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88182-7DC9-4FD1-A9E0-C9A5A26E3C22}">
  <sheetPr>
    <tabColor theme="5" tint="0.39997558519241921"/>
  </sheetPr>
  <dimension ref="A1:F27"/>
  <sheetViews>
    <sheetView zoomScale="115" zoomScaleNormal="115" workbookViewId="0"/>
  </sheetViews>
  <sheetFormatPr defaultColWidth="12.5546875" defaultRowHeight="15" customHeight="1" x14ac:dyDescent="0.3"/>
  <cols>
    <col min="1" max="1" width="12.109375" style="2" customWidth="1"/>
    <col min="2" max="3" width="9" style="2" customWidth="1"/>
    <col min="4" max="4" width="15.44140625" style="2" customWidth="1"/>
    <col min="5" max="6" width="9" style="2" customWidth="1"/>
    <col min="7" max="26" width="8.5546875" style="2" customWidth="1"/>
    <col min="27" max="16384" width="12.5546875" style="2"/>
  </cols>
  <sheetData>
    <row r="1" spans="1:6" ht="15" customHeight="1" x14ac:dyDescent="0.3">
      <c r="A1" s="2" t="s">
        <v>286</v>
      </c>
    </row>
    <row r="3" spans="1:6" ht="15" customHeight="1" x14ac:dyDescent="0.3">
      <c r="A3" s="13" t="s">
        <v>269</v>
      </c>
    </row>
    <row r="4" spans="1:6" ht="14.4" x14ac:dyDescent="0.3">
      <c r="A4" s="76" t="s">
        <v>273</v>
      </c>
    </row>
    <row r="5" spans="1:6" ht="14.4" x14ac:dyDescent="0.3"/>
    <row r="6" spans="1:6" ht="14.4" x14ac:dyDescent="0.3">
      <c r="A6" s="2" t="s">
        <v>87</v>
      </c>
    </row>
    <row r="7" spans="1:6" ht="14.4" x14ac:dyDescent="0.3">
      <c r="A7" s="2" t="s">
        <v>4</v>
      </c>
    </row>
    <row r="8" spans="1:6" ht="14.4" x14ac:dyDescent="0.3">
      <c r="A8" s="2" t="s">
        <v>5</v>
      </c>
    </row>
    <row r="9" spans="1:6" ht="14.4" x14ac:dyDescent="0.3">
      <c r="A9" s="2" t="s">
        <v>6</v>
      </c>
    </row>
    <row r="10" spans="1:6" ht="14.4" x14ac:dyDescent="0.3">
      <c r="A10" s="2" t="s">
        <v>7</v>
      </c>
    </row>
    <row r="11" spans="1:6" ht="14.4" x14ac:dyDescent="0.3"/>
    <row r="12" spans="1:6" ht="14.4" x14ac:dyDescent="0.3"/>
    <row r="13" spans="1:6" thickBot="1" x14ac:dyDescent="0.35">
      <c r="A13" s="2" t="s">
        <v>8</v>
      </c>
    </row>
    <row r="14" spans="1:6" ht="43.8" thickBot="1" x14ac:dyDescent="0.35">
      <c r="A14" s="3"/>
      <c r="B14" s="4" t="s">
        <v>9</v>
      </c>
      <c r="C14" s="4" t="s">
        <v>10</v>
      </c>
      <c r="D14" s="4" t="s">
        <v>11</v>
      </c>
      <c r="E14" s="4" t="s">
        <v>12</v>
      </c>
      <c r="F14" s="4" t="s">
        <v>13</v>
      </c>
    </row>
    <row r="15" spans="1:6" thickBot="1" x14ac:dyDescent="0.35">
      <c r="A15" s="5">
        <v>45473</v>
      </c>
      <c r="B15" s="6">
        <v>3.4200000000000001E-2</v>
      </c>
      <c r="C15" s="7" t="s">
        <v>14</v>
      </c>
      <c r="D15" s="7" t="s">
        <v>15</v>
      </c>
      <c r="E15" s="7" t="s">
        <v>16</v>
      </c>
      <c r="F15" s="7">
        <v>0</v>
      </c>
    </row>
    <row r="16" spans="1:6" thickBot="1" x14ac:dyDescent="0.35">
      <c r="A16" s="5">
        <v>45107</v>
      </c>
      <c r="B16" s="6">
        <v>3.1399999999999997E-2</v>
      </c>
      <c r="C16" s="7" t="s">
        <v>17</v>
      </c>
      <c r="D16" s="7" t="s">
        <v>18</v>
      </c>
      <c r="E16" s="7" t="s">
        <v>14</v>
      </c>
      <c r="F16" s="7" t="s">
        <v>19</v>
      </c>
    </row>
    <row r="17" spans="1:6" thickBot="1" x14ac:dyDescent="0.35">
      <c r="A17" s="5">
        <v>44742</v>
      </c>
      <c r="B17" s="6">
        <v>3.1899999999999998E-2</v>
      </c>
      <c r="C17" s="7" t="s">
        <v>18</v>
      </c>
      <c r="D17" s="7" t="s">
        <v>14</v>
      </c>
      <c r="E17" s="7" t="s">
        <v>15</v>
      </c>
      <c r="F17" s="7" t="s">
        <v>19</v>
      </c>
    </row>
    <row r="18" spans="1:6" thickBot="1" x14ac:dyDescent="0.35">
      <c r="A18" s="5">
        <v>44377</v>
      </c>
      <c r="B18" s="6">
        <v>1.77E-2</v>
      </c>
      <c r="C18" s="7" t="s">
        <v>20</v>
      </c>
      <c r="D18" s="7" t="s">
        <v>21</v>
      </c>
      <c r="E18" s="7" t="s">
        <v>22</v>
      </c>
      <c r="F18" s="7" t="s">
        <v>19</v>
      </c>
    </row>
    <row r="19" spans="1:6" thickBot="1" x14ac:dyDescent="0.35">
      <c r="A19" s="5">
        <v>44012</v>
      </c>
      <c r="B19" s="6">
        <v>9.1000000000000004E-3</v>
      </c>
      <c r="C19" s="7" t="s">
        <v>18</v>
      </c>
      <c r="D19" s="7" t="s">
        <v>14</v>
      </c>
      <c r="E19" s="7" t="s">
        <v>15</v>
      </c>
      <c r="F19" s="7" t="s">
        <v>19</v>
      </c>
    </row>
    <row r="21" spans="1:6" ht="14.4" x14ac:dyDescent="0.3">
      <c r="A21" s="1" t="s">
        <v>254</v>
      </c>
    </row>
    <row r="22" spans="1:6" ht="14.4" x14ac:dyDescent="0.3"/>
    <row r="23" spans="1:6" ht="14.4" x14ac:dyDescent="0.3">
      <c r="A23" s="1"/>
    </row>
    <row r="24" spans="1:6" ht="14.4" x14ac:dyDescent="0.3">
      <c r="A24" s="1"/>
    </row>
    <row r="25" spans="1:6" ht="14.4" x14ac:dyDescent="0.3"/>
    <row r="26" spans="1:6" ht="14.4" x14ac:dyDescent="0.3">
      <c r="A26" s="77"/>
      <c r="B26" s="79"/>
      <c r="C26" s="79"/>
      <c r="D26" s="79"/>
      <c r="E26" s="79"/>
    </row>
    <row r="27" spans="1:6" ht="14.4" x14ac:dyDescent="0.3">
      <c r="A27" s="78"/>
      <c r="B27" s="78"/>
      <c r="C27" s="78"/>
      <c r="D27" s="78"/>
      <c r="E27" s="78"/>
    </row>
  </sheetData>
  <mergeCells count="5">
    <mergeCell ref="A26:A27"/>
    <mergeCell ref="B26:B27"/>
    <mergeCell ref="C26:C27"/>
    <mergeCell ref="D26:D27"/>
    <mergeCell ref="E26:E2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F25"/>
  <sheetViews>
    <sheetView zoomScale="115" zoomScaleNormal="115" workbookViewId="0"/>
  </sheetViews>
  <sheetFormatPr defaultColWidth="12.5546875" defaultRowHeight="15" customHeight="1" x14ac:dyDescent="0.3"/>
  <cols>
    <col min="1" max="1" width="11.33203125" style="2" customWidth="1"/>
    <col min="2" max="2" width="9" style="2" customWidth="1"/>
    <col min="3" max="3" width="16.109375" style="2" customWidth="1"/>
    <col min="4" max="4" width="15.44140625" style="2" customWidth="1"/>
    <col min="5" max="5" width="14.88671875" style="2" customWidth="1"/>
    <col min="6" max="6" width="10.5546875" style="2" customWidth="1"/>
    <col min="7" max="26" width="8.5546875" style="2" customWidth="1"/>
    <col min="27" max="16384" width="12.5546875" style="2"/>
  </cols>
  <sheetData>
    <row r="1" spans="1:6" ht="15" customHeight="1" x14ac:dyDescent="0.3">
      <c r="A1" s="2" t="s">
        <v>286</v>
      </c>
    </row>
    <row r="3" spans="1:6" ht="14.4" x14ac:dyDescent="0.3">
      <c r="A3" s="1" t="s">
        <v>2</v>
      </c>
    </row>
    <row r="4" spans="1:6" ht="14.4" x14ac:dyDescent="0.3"/>
    <row r="5" spans="1:6" ht="14.4" x14ac:dyDescent="0.3">
      <c r="A5" s="1"/>
    </row>
    <row r="6" spans="1:6" ht="14.4" x14ac:dyDescent="0.3"/>
    <row r="7" spans="1:6" ht="28.8" x14ac:dyDescent="0.3">
      <c r="A7" s="3"/>
      <c r="B7" s="4" t="s">
        <v>9</v>
      </c>
      <c r="C7" s="4" t="s">
        <v>10</v>
      </c>
      <c r="D7" s="4" t="s">
        <v>11</v>
      </c>
      <c r="E7" s="4" t="s">
        <v>12</v>
      </c>
      <c r="F7" s="4" t="s">
        <v>13</v>
      </c>
    </row>
    <row r="8" spans="1:6" ht="14.4" x14ac:dyDescent="0.3">
      <c r="A8" s="5">
        <v>45473</v>
      </c>
      <c r="B8" s="6">
        <v>3.4200000000000001E-2</v>
      </c>
      <c r="C8" s="7" t="s">
        <v>14</v>
      </c>
      <c r="D8" s="7" t="s">
        <v>15</v>
      </c>
      <c r="E8" s="7" t="s">
        <v>16</v>
      </c>
      <c r="F8" s="7">
        <v>0</v>
      </c>
    </row>
    <row r="9" spans="1:6" ht="14.4" x14ac:dyDescent="0.3">
      <c r="A9" s="5">
        <v>45107</v>
      </c>
      <c r="B9" s="6">
        <v>3.1399999999999997E-2</v>
      </c>
      <c r="C9" s="7" t="s">
        <v>17</v>
      </c>
      <c r="D9" s="7" t="s">
        <v>18</v>
      </c>
      <c r="E9" s="7" t="s">
        <v>14</v>
      </c>
      <c r="F9" s="7" t="s">
        <v>19</v>
      </c>
    </row>
    <row r="10" spans="1:6" ht="14.4" x14ac:dyDescent="0.3">
      <c r="A10" s="5">
        <v>44742</v>
      </c>
      <c r="B10" s="6">
        <v>3.1899999999999998E-2</v>
      </c>
      <c r="C10" s="7" t="s">
        <v>18</v>
      </c>
      <c r="D10" s="7" t="s">
        <v>14</v>
      </c>
      <c r="E10" s="7" t="s">
        <v>15</v>
      </c>
      <c r="F10" s="7" t="s">
        <v>19</v>
      </c>
    </row>
    <row r="11" spans="1:6" ht="14.4" x14ac:dyDescent="0.3">
      <c r="A11" s="5">
        <v>44377</v>
      </c>
      <c r="B11" s="6">
        <v>1.77E-2</v>
      </c>
      <c r="C11" s="7" t="s">
        <v>20</v>
      </c>
      <c r="D11" s="7" t="s">
        <v>21</v>
      </c>
      <c r="E11" s="7" t="s">
        <v>22</v>
      </c>
      <c r="F11" s="7" t="s">
        <v>19</v>
      </c>
    </row>
    <row r="12" spans="1:6" ht="14.4" x14ac:dyDescent="0.3">
      <c r="A12" s="5">
        <v>44012</v>
      </c>
      <c r="B12" s="6">
        <v>9.1000000000000004E-3</v>
      </c>
      <c r="C12" s="7" t="s">
        <v>18</v>
      </c>
      <c r="D12" s="7" t="s">
        <v>14</v>
      </c>
      <c r="E12" s="7" t="s">
        <v>15</v>
      </c>
      <c r="F12" s="7" t="s">
        <v>19</v>
      </c>
    </row>
    <row r="13" spans="1:6" ht="14.4" x14ac:dyDescent="0.3"/>
    <row r="14" spans="1:6" ht="14.4" x14ac:dyDescent="0.3"/>
    <row r="15" spans="1:6" ht="14.4" x14ac:dyDescent="0.3">
      <c r="A15" s="1"/>
    </row>
    <row r="16" spans="1:6" ht="14.4" x14ac:dyDescent="0.3">
      <c r="A16" s="1"/>
    </row>
    <row r="17" spans="1:5" ht="14.4" x14ac:dyDescent="0.3"/>
    <row r="18" spans="1:5" ht="14.4" x14ac:dyDescent="0.3">
      <c r="A18" s="77"/>
      <c r="B18" s="79" t="s">
        <v>9</v>
      </c>
      <c r="C18" s="79" t="s">
        <v>23</v>
      </c>
      <c r="D18" s="79" t="s">
        <v>13</v>
      </c>
      <c r="E18" s="79" t="s">
        <v>24</v>
      </c>
    </row>
    <row r="19" spans="1:5" ht="54.6" customHeight="1" x14ac:dyDescent="0.3">
      <c r="A19" s="80"/>
      <c r="B19" s="80"/>
      <c r="C19" s="80"/>
      <c r="D19" s="80"/>
      <c r="E19" s="80"/>
    </row>
    <row r="20" spans="1:5" ht="14.4" x14ac:dyDescent="0.3">
      <c r="A20" s="9">
        <v>45473</v>
      </c>
      <c r="B20" s="10">
        <v>3.4200000000000001E-2</v>
      </c>
      <c r="C20" s="10">
        <v>1.4999999999999999E-2</v>
      </c>
      <c r="D20" s="8" t="s">
        <v>25</v>
      </c>
      <c r="E20" s="10">
        <v>4.9200000000000001E-2</v>
      </c>
    </row>
    <row r="21" spans="1:5" ht="14.4" x14ac:dyDescent="0.3">
      <c r="A21" s="9">
        <v>45107</v>
      </c>
      <c r="B21" s="10">
        <v>3.1399999999999997E-2</v>
      </c>
      <c r="C21" s="10">
        <v>1.7000000000000001E-2</v>
      </c>
      <c r="D21" s="10">
        <v>6.3E-3</v>
      </c>
      <c r="E21" s="10">
        <v>5.4699999999999999E-2</v>
      </c>
    </row>
    <row r="22" spans="1:5" ht="15.75" customHeight="1" x14ac:dyDescent="0.3">
      <c r="A22" s="9">
        <v>44742</v>
      </c>
      <c r="B22" s="10">
        <v>3.1899999999999998E-2</v>
      </c>
      <c r="C22" s="10">
        <v>1.6E-2</v>
      </c>
      <c r="D22" s="10">
        <v>6.3E-3</v>
      </c>
      <c r="E22" s="10">
        <v>5.4199999999999998E-2</v>
      </c>
    </row>
    <row r="23" spans="1:5" ht="15.75" customHeight="1" x14ac:dyDescent="0.3">
      <c r="A23" s="9">
        <v>44377</v>
      </c>
      <c r="B23" s="10">
        <v>1.77E-2</v>
      </c>
      <c r="C23" s="10">
        <v>1.2E-2</v>
      </c>
      <c r="D23" s="10">
        <v>6.3E-3</v>
      </c>
      <c r="E23" s="10">
        <v>3.5999999999999997E-2</v>
      </c>
    </row>
    <row r="24" spans="1:5" ht="15.75" customHeight="1" x14ac:dyDescent="0.3">
      <c r="A24" s="9">
        <v>44012</v>
      </c>
      <c r="B24" s="10">
        <v>9.1000000000000004E-3</v>
      </c>
      <c r="C24" s="10">
        <v>1.6E-2</v>
      </c>
      <c r="D24" s="10">
        <v>6.3E-3</v>
      </c>
      <c r="E24" s="11">
        <v>3.1399999999999997E-2</v>
      </c>
    </row>
    <row r="25" spans="1:5" ht="15.75" customHeight="1" x14ac:dyDescent="0.3">
      <c r="E25" s="12">
        <f>AVERAGE(E20:E24)</f>
        <v>4.5099999999999994E-2</v>
      </c>
    </row>
  </sheetData>
  <mergeCells count="5">
    <mergeCell ref="A18:A19"/>
    <mergeCell ref="B18:B19"/>
    <mergeCell ref="C18:C19"/>
    <mergeCell ref="D18:D19"/>
    <mergeCell ref="E18:E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3AAE-63D0-4731-8B67-88D89ACCD69D}">
  <sheetPr>
    <tabColor theme="5" tint="0.39997558519241921"/>
    <outlinePr summaryBelow="0" summaryRight="0"/>
  </sheetPr>
  <dimension ref="A1:H58"/>
  <sheetViews>
    <sheetView zoomScale="115" zoomScaleNormal="115" workbookViewId="0"/>
  </sheetViews>
  <sheetFormatPr defaultColWidth="12.5546875" defaultRowHeight="15" customHeight="1" x14ac:dyDescent="0.3"/>
  <cols>
    <col min="1" max="1" width="18" style="2" customWidth="1"/>
    <col min="2" max="2" width="17.6640625" style="2" customWidth="1"/>
    <col min="3" max="3" width="14.44140625" style="2" customWidth="1"/>
    <col min="4" max="4" width="13.33203125" style="2" customWidth="1"/>
    <col min="5" max="5" width="12.5546875" style="2"/>
    <col min="6" max="8" width="15.33203125" style="2" customWidth="1"/>
    <col min="9" max="16384" width="12.5546875" style="2"/>
  </cols>
  <sheetData>
    <row r="1" spans="1:8" ht="15" customHeight="1" x14ac:dyDescent="0.3">
      <c r="A1" s="2" t="s">
        <v>286</v>
      </c>
    </row>
    <row r="3" spans="1:8" ht="15" customHeight="1" x14ac:dyDescent="0.3">
      <c r="A3" s="13" t="s">
        <v>269</v>
      </c>
    </row>
    <row r="4" spans="1:8" ht="14.4" x14ac:dyDescent="0.3">
      <c r="A4" s="2" t="s">
        <v>26</v>
      </c>
    </row>
    <row r="5" spans="1:8" ht="14.4" x14ac:dyDescent="0.3"/>
    <row r="6" spans="1:8" ht="14.4" x14ac:dyDescent="0.3">
      <c r="A6" s="2" t="s">
        <v>256</v>
      </c>
    </row>
    <row r="7" spans="1:8" ht="14.4" x14ac:dyDescent="0.3">
      <c r="A7" s="2" t="s">
        <v>255</v>
      </c>
    </row>
    <row r="8" spans="1:8" ht="14.4" x14ac:dyDescent="0.3">
      <c r="A8" s="2" t="s">
        <v>27</v>
      </c>
    </row>
    <row r="9" spans="1:8" ht="14.4" x14ac:dyDescent="0.3"/>
    <row r="10" spans="1:8" ht="14.4" x14ac:dyDescent="0.3"/>
    <row r="11" spans="1:8" ht="15" customHeight="1" x14ac:dyDescent="0.35">
      <c r="A11" s="14"/>
    </row>
    <row r="12" spans="1:8" ht="43.2" x14ac:dyDescent="0.3">
      <c r="A12" s="15" t="s">
        <v>1</v>
      </c>
      <c r="B12" s="20" t="s">
        <v>28</v>
      </c>
      <c r="C12" s="20" t="s">
        <v>29</v>
      </c>
      <c r="D12" s="20" t="s">
        <v>30</v>
      </c>
      <c r="E12" s="20" t="s">
        <v>31</v>
      </c>
      <c r="F12" s="20" t="s">
        <v>32</v>
      </c>
      <c r="G12" s="20" t="s">
        <v>33</v>
      </c>
      <c r="H12" s="20" t="s">
        <v>34</v>
      </c>
    </row>
    <row r="13" spans="1:8" ht="14.4" x14ac:dyDescent="0.3">
      <c r="A13" s="15">
        <v>55</v>
      </c>
      <c r="B13" s="17">
        <v>2884</v>
      </c>
      <c r="C13" s="17">
        <v>3045</v>
      </c>
      <c r="D13" s="17">
        <v>2813</v>
      </c>
      <c r="E13" s="17">
        <v>6</v>
      </c>
      <c r="F13" s="17">
        <v>7</v>
      </c>
      <c r="G13" s="15">
        <v>6</v>
      </c>
      <c r="H13" s="18">
        <v>1.72E-3</v>
      </c>
    </row>
    <row r="14" spans="1:8" ht="14.4" x14ac:dyDescent="0.3">
      <c r="A14" s="15">
        <f t="shared" ref="A14:A51" si="0">A13+1</f>
        <v>56</v>
      </c>
      <c r="B14" s="17">
        <v>3572</v>
      </c>
      <c r="C14" s="17">
        <v>3302</v>
      </c>
      <c r="D14" s="17">
        <v>3060</v>
      </c>
      <c r="E14" s="17">
        <v>9</v>
      </c>
      <c r="F14" s="17">
        <v>11</v>
      </c>
      <c r="G14" s="15">
        <v>10</v>
      </c>
      <c r="H14" s="18">
        <v>2.1199999999999999E-3</v>
      </c>
    </row>
    <row r="15" spans="1:8" ht="14.4" x14ac:dyDescent="0.3">
      <c r="A15" s="15">
        <f t="shared" si="0"/>
        <v>57</v>
      </c>
      <c r="B15" s="17">
        <v>3688</v>
      </c>
      <c r="C15" s="17">
        <v>3415</v>
      </c>
      <c r="D15" s="17">
        <v>3175</v>
      </c>
      <c r="E15" s="17">
        <v>15</v>
      </c>
      <c r="F15" s="17">
        <v>14</v>
      </c>
      <c r="G15" s="15">
        <v>14</v>
      </c>
      <c r="H15" s="18">
        <v>2.4599999999999999E-3</v>
      </c>
    </row>
    <row r="16" spans="1:8" ht="14.4" x14ac:dyDescent="0.3">
      <c r="A16" s="15">
        <f t="shared" si="0"/>
        <v>58</v>
      </c>
      <c r="B16" s="17">
        <v>3524</v>
      </c>
      <c r="C16" s="17">
        <v>3289</v>
      </c>
      <c r="D16" s="17">
        <v>3030</v>
      </c>
      <c r="E16" s="17">
        <v>18</v>
      </c>
      <c r="F16" s="17">
        <v>17</v>
      </c>
      <c r="G16" s="15">
        <v>17</v>
      </c>
      <c r="H16" s="18">
        <v>2.8500000000000001E-3</v>
      </c>
    </row>
    <row r="17" spans="1:8" ht="14.4" x14ac:dyDescent="0.3">
      <c r="A17" s="15">
        <f t="shared" si="0"/>
        <v>59</v>
      </c>
      <c r="B17" s="17">
        <v>3604</v>
      </c>
      <c r="C17" s="17">
        <v>3368</v>
      </c>
      <c r="D17" s="17">
        <v>3115</v>
      </c>
      <c r="E17" s="17">
        <v>14</v>
      </c>
      <c r="F17" s="17">
        <v>13</v>
      </c>
      <c r="G17" s="15">
        <v>13</v>
      </c>
      <c r="H17" s="18">
        <v>3.2799999999999999E-3</v>
      </c>
    </row>
    <row r="18" spans="1:8" ht="14.4" x14ac:dyDescent="0.3">
      <c r="A18" s="15">
        <f t="shared" si="0"/>
        <v>60</v>
      </c>
      <c r="B18" s="17">
        <v>3620</v>
      </c>
      <c r="C18" s="17">
        <v>3395</v>
      </c>
      <c r="D18" s="17">
        <v>3135</v>
      </c>
      <c r="E18" s="17">
        <v>15</v>
      </c>
      <c r="F18" s="17">
        <v>16</v>
      </c>
      <c r="G18" s="15">
        <v>15</v>
      </c>
      <c r="H18" s="18">
        <v>3.79E-3</v>
      </c>
    </row>
    <row r="19" spans="1:8" ht="14.4" x14ac:dyDescent="0.3">
      <c r="A19" s="15">
        <f t="shared" si="0"/>
        <v>61</v>
      </c>
      <c r="B19" s="17">
        <v>3535</v>
      </c>
      <c r="C19" s="17">
        <v>3275</v>
      </c>
      <c r="D19" s="17">
        <v>3010</v>
      </c>
      <c r="E19" s="17">
        <v>15</v>
      </c>
      <c r="F19" s="17">
        <v>14</v>
      </c>
      <c r="G19" s="15">
        <v>16</v>
      </c>
      <c r="H19" s="18">
        <v>4.3299999999999996E-3</v>
      </c>
    </row>
    <row r="20" spans="1:8" ht="14.4" x14ac:dyDescent="0.3">
      <c r="A20" s="15">
        <f t="shared" si="0"/>
        <v>62</v>
      </c>
      <c r="B20" s="17">
        <v>3667</v>
      </c>
      <c r="C20" s="17">
        <v>3412</v>
      </c>
      <c r="D20" s="17">
        <v>3145</v>
      </c>
      <c r="E20" s="17">
        <v>27</v>
      </c>
      <c r="F20" s="17">
        <v>25</v>
      </c>
      <c r="G20" s="15">
        <v>26</v>
      </c>
      <c r="H20" s="18">
        <v>5.1200000000000004E-3</v>
      </c>
    </row>
    <row r="21" spans="1:8" ht="14.4" x14ac:dyDescent="0.3">
      <c r="A21" s="15">
        <f t="shared" si="0"/>
        <v>63</v>
      </c>
      <c r="B21" s="17">
        <v>3233</v>
      </c>
      <c r="C21" s="17">
        <v>3070</v>
      </c>
      <c r="D21" s="17">
        <v>2830</v>
      </c>
      <c r="E21" s="17">
        <v>32</v>
      </c>
      <c r="F21" s="17">
        <v>30</v>
      </c>
      <c r="G21" s="15">
        <v>31</v>
      </c>
      <c r="H21" s="18">
        <v>5.9100000000000003E-3</v>
      </c>
    </row>
    <row r="22" spans="1:8" ht="14.4" x14ac:dyDescent="0.3">
      <c r="A22" s="15">
        <f t="shared" si="0"/>
        <v>64</v>
      </c>
      <c r="B22" s="17">
        <v>3206</v>
      </c>
      <c r="C22" s="17">
        <v>3021</v>
      </c>
      <c r="D22" s="17">
        <v>2790</v>
      </c>
      <c r="E22" s="17">
        <v>20</v>
      </c>
      <c r="F22" s="17">
        <v>22</v>
      </c>
      <c r="G22" s="15">
        <v>21</v>
      </c>
      <c r="H22" s="18">
        <v>6.5599999999999999E-3</v>
      </c>
    </row>
    <row r="23" spans="1:8" ht="14.4" x14ac:dyDescent="0.3">
      <c r="A23" s="15">
        <f t="shared" si="0"/>
        <v>65</v>
      </c>
      <c r="B23" s="17">
        <v>3096</v>
      </c>
      <c r="C23" s="17">
        <v>2910</v>
      </c>
      <c r="D23" s="17">
        <v>2685</v>
      </c>
      <c r="E23" s="17">
        <v>32</v>
      </c>
      <c r="F23" s="17">
        <v>31</v>
      </c>
      <c r="G23" s="15">
        <v>30</v>
      </c>
      <c r="H23" s="18">
        <v>7.4000000000000003E-3</v>
      </c>
    </row>
    <row r="24" spans="1:8" ht="14.4" x14ac:dyDescent="0.3">
      <c r="A24" s="15">
        <f t="shared" si="0"/>
        <v>66</v>
      </c>
      <c r="B24" s="17">
        <v>3275</v>
      </c>
      <c r="C24" s="17">
        <v>3050</v>
      </c>
      <c r="D24" s="17">
        <v>2810</v>
      </c>
      <c r="E24" s="17">
        <v>37</v>
      </c>
      <c r="F24" s="17">
        <v>36</v>
      </c>
      <c r="G24" s="15">
        <v>35</v>
      </c>
      <c r="H24" s="18">
        <v>8.3199999999999993E-3</v>
      </c>
    </row>
    <row r="25" spans="1:8" ht="14.4" x14ac:dyDescent="0.3">
      <c r="A25" s="15">
        <f t="shared" si="0"/>
        <v>67</v>
      </c>
      <c r="B25" s="17">
        <v>3154</v>
      </c>
      <c r="C25" s="17">
        <v>2935</v>
      </c>
      <c r="D25" s="17">
        <v>2700</v>
      </c>
      <c r="E25" s="17">
        <v>31</v>
      </c>
      <c r="F25" s="17">
        <v>30</v>
      </c>
      <c r="G25" s="15">
        <v>29</v>
      </c>
      <c r="H25" s="18">
        <v>9.1999999999999998E-3</v>
      </c>
    </row>
    <row r="26" spans="1:8" ht="14.4" x14ac:dyDescent="0.3">
      <c r="A26" s="15">
        <f t="shared" si="0"/>
        <v>68</v>
      </c>
      <c r="B26" s="17">
        <v>2868</v>
      </c>
      <c r="C26" s="17">
        <v>2648</v>
      </c>
      <c r="D26" s="17">
        <v>2435</v>
      </c>
      <c r="E26" s="17">
        <v>27</v>
      </c>
      <c r="F26" s="17">
        <v>28</v>
      </c>
      <c r="G26" s="15">
        <v>26</v>
      </c>
      <c r="H26" s="18">
        <v>1.017E-2</v>
      </c>
    </row>
    <row r="27" spans="1:8" ht="14.4" x14ac:dyDescent="0.3">
      <c r="A27" s="15">
        <f t="shared" si="0"/>
        <v>69</v>
      </c>
      <c r="B27" s="17">
        <v>2450</v>
      </c>
      <c r="C27" s="17">
        <v>2310</v>
      </c>
      <c r="D27" s="17">
        <v>2120</v>
      </c>
      <c r="E27" s="17">
        <v>38</v>
      </c>
      <c r="F27" s="17">
        <v>37</v>
      </c>
      <c r="G27" s="15">
        <v>36</v>
      </c>
      <c r="H27" s="18">
        <v>1.1259999999999999E-2</v>
      </c>
    </row>
    <row r="28" spans="1:8" ht="14.4" x14ac:dyDescent="0.3">
      <c r="A28" s="15">
        <f t="shared" si="0"/>
        <v>70</v>
      </c>
      <c r="B28" s="17">
        <v>2259</v>
      </c>
      <c r="C28" s="17">
        <v>2125</v>
      </c>
      <c r="D28" s="17">
        <v>1940</v>
      </c>
      <c r="E28" s="17">
        <v>40</v>
      </c>
      <c r="F28" s="17">
        <v>39</v>
      </c>
      <c r="G28" s="15">
        <v>39</v>
      </c>
      <c r="H28" s="18">
        <v>1.251E-2</v>
      </c>
    </row>
    <row r="29" spans="1:8" ht="14.4" x14ac:dyDescent="0.3">
      <c r="A29" s="15">
        <f t="shared" si="0"/>
        <v>71</v>
      </c>
      <c r="B29" s="17">
        <v>1868</v>
      </c>
      <c r="C29" s="17">
        <v>1772</v>
      </c>
      <c r="D29" s="17">
        <v>1620</v>
      </c>
      <c r="E29" s="17">
        <v>35</v>
      </c>
      <c r="F29" s="17">
        <v>34</v>
      </c>
      <c r="G29" s="15">
        <v>33</v>
      </c>
      <c r="H29" s="18">
        <v>1.396E-2</v>
      </c>
    </row>
    <row r="30" spans="1:8" ht="14.4" x14ac:dyDescent="0.3">
      <c r="A30" s="15">
        <f t="shared" si="0"/>
        <v>72</v>
      </c>
      <c r="B30" s="17">
        <v>1709</v>
      </c>
      <c r="C30" s="17">
        <v>1610</v>
      </c>
      <c r="D30" s="17">
        <v>1470</v>
      </c>
      <c r="E30" s="17">
        <v>41</v>
      </c>
      <c r="F30" s="17">
        <v>42</v>
      </c>
      <c r="G30" s="15">
        <v>40</v>
      </c>
      <c r="H30" s="18">
        <v>1.559E-2</v>
      </c>
    </row>
    <row r="31" spans="1:8" ht="14.4" x14ac:dyDescent="0.3">
      <c r="A31" s="15">
        <f t="shared" si="0"/>
        <v>73</v>
      </c>
      <c r="B31" s="17">
        <v>1619</v>
      </c>
      <c r="C31" s="17">
        <v>1525</v>
      </c>
      <c r="D31" s="17">
        <v>1385</v>
      </c>
      <c r="E31" s="17">
        <v>49</v>
      </c>
      <c r="F31" s="17">
        <v>48</v>
      </c>
      <c r="G31" s="15">
        <v>47</v>
      </c>
      <c r="H31" s="18">
        <v>1.745E-2</v>
      </c>
    </row>
    <row r="32" spans="1:8" ht="14.4" x14ac:dyDescent="0.3">
      <c r="A32" s="15">
        <f t="shared" si="0"/>
        <v>74</v>
      </c>
      <c r="B32" s="17">
        <v>1423</v>
      </c>
      <c r="C32" s="17">
        <v>1345</v>
      </c>
      <c r="D32" s="17">
        <v>1225</v>
      </c>
      <c r="E32" s="17">
        <v>35</v>
      </c>
      <c r="F32" s="17">
        <v>36</v>
      </c>
      <c r="G32" s="15">
        <v>34</v>
      </c>
      <c r="H32" s="18">
        <v>1.959E-2</v>
      </c>
    </row>
    <row r="33" spans="1:8" ht="14.4" x14ac:dyDescent="0.3">
      <c r="A33" s="15">
        <f t="shared" si="0"/>
        <v>75</v>
      </c>
      <c r="B33" s="17">
        <v>1381</v>
      </c>
      <c r="C33" s="17">
        <v>1290</v>
      </c>
      <c r="D33" s="17">
        <v>1170</v>
      </c>
      <c r="E33" s="17">
        <v>38</v>
      </c>
      <c r="F33" s="17">
        <v>39</v>
      </c>
      <c r="G33" s="15">
        <v>37</v>
      </c>
      <c r="H33" s="18">
        <v>2.2040000000000001E-2</v>
      </c>
    </row>
    <row r="34" spans="1:8" ht="14.4" x14ac:dyDescent="0.3">
      <c r="A34" s="15">
        <f t="shared" si="0"/>
        <v>76</v>
      </c>
      <c r="B34" s="17">
        <v>1275</v>
      </c>
      <c r="C34" s="17">
        <v>1185</v>
      </c>
      <c r="D34" s="17">
        <v>1065</v>
      </c>
      <c r="E34" s="17">
        <v>46</v>
      </c>
      <c r="F34" s="17">
        <v>45</v>
      </c>
      <c r="G34" s="15">
        <v>44</v>
      </c>
      <c r="H34" s="18">
        <v>2.4850000000000001E-2</v>
      </c>
    </row>
    <row r="35" spans="1:8" ht="14.4" x14ac:dyDescent="0.3">
      <c r="A35" s="15">
        <f t="shared" si="0"/>
        <v>77</v>
      </c>
      <c r="B35" s="17">
        <v>1111</v>
      </c>
      <c r="C35" s="17">
        <v>1045</v>
      </c>
      <c r="D35" s="17">
        <v>925</v>
      </c>
      <c r="E35" s="17">
        <v>29</v>
      </c>
      <c r="F35" s="17">
        <v>28</v>
      </c>
      <c r="G35" s="15">
        <v>27</v>
      </c>
      <c r="H35" s="18">
        <v>2.8049999999999999E-2</v>
      </c>
    </row>
    <row r="36" spans="1:8" ht="14.4" x14ac:dyDescent="0.3">
      <c r="A36" s="15">
        <f t="shared" si="0"/>
        <v>78</v>
      </c>
      <c r="B36" s="17">
        <v>969</v>
      </c>
      <c r="C36" s="17">
        <v>915</v>
      </c>
      <c r="D36" s="17">
        <v>805</v>
      </c>
      <c r="E36" s="17">
        <v>30</v>
      </c>
      <c r="F36" s="17">
        <v>31</v>
      </c>
      <c r="G36" s="15">
        <v>29</v>
      </c>
      <c r="H36" s="18">
        <v>3.1690000000000003E-2</v>
      </c>
    </row>
    <row r="37" spans="1:8" ht="14.4" x14ac:dyDescent="0.3">
      <c r="A37" s="15">
        <f t="shared" si="0"/>
        <v>79</v>
      </c>
      <c r="B37" s="17">
        <v>772</v>
      </c>
      <c r="C37" s="17">
        <v>735</v>
      </c>
      <c r="D37" s="17">
        <v>630</v>
      </c>
      <c r="E37" s="17">
        <v>20</v>
      </c>
      <c r="F37" s="17">
        <v>21</v>
      </c>
      <c r="G37" s="15">
        <v>19</v>
      </c>
      <c r="H37" s="18">
        <v>3.5830000000000001E-2</v>
      </c>
    </row>
    <row r="38" spans="1:8" ht="14.4" x14ac:dyDescent="0.3">
      <c r="A38" s="15">
        <f t="shared" si="0"/>
        <v>80</v>
      </c>
      <c r="B38" s="17">
        <v>704</v>
      </c>
      <c r="C38" s="17">
        <v>670</v>
      </c>
      <c r="D38" s="17">
        <v>570</v>
      </c>
      <c r="E38" s="17">
        <v>35</v>
      </c>
      <c r="F38" s="17">
        <v>33</v>
      </c>
      <c r="G38" s="15">
        <v>32</v>
      </c>
      <c r="H38" s="18">
        <v>4.079E-2</v>
      </c>
    </row>
    <row r="39" spans="1:8" ht="14.4" x14ac:dyDescent="0.3">
      <c r="A39" s="15">
        <f t="shared" si="0"/>
        <v>81</v>
      </c>
      <c r="B39" s="17">
        <v>540</v>
      </c>
      <c r="C39" s="17">
        <v>515</v>
      </c>
      <c r="D39" s="17">
        <v>435</v>
      </c>
      <c r="E39" s="17">
        <v>23</v>
      </c>
      <c r="F39" s="17">
        <v>24</v>
      </c>
      <c r="G39" s="15">
        <v>22</v>
      </c>
      <c r="H39" s="18">
        <v>4.5830000000000003E-2</v>
      </c>
    </row>
    <row r="40" spans="1:8" ht="14.4" x14ac:dyDescent="0.3">
      <c r="A40" s="15">
        <f t="shared" si="0"/>
        <v>82</v>
      </c>
      <c r="B40" s="17">
        <v>524</v>
      </c>
      <c r="C40" s="17">
        <v>495</v>
      </c>
      <c r="D40" s="17">
        <v>410</v>
      </c>
      <c r="E40" s="17">
        <v>27</v>
      </c>
      <c r="F40" s="17">
        <v>26</v>
      </c>
      <c r="G40" s="15">
        <v>25</v>
      </c>
      <c r="H40" s="18">
        <v>5.1499999999999997E-2</v>
      </c>
    </row>
    <row r="41" spans="1:8" ht="14.4" x14ac:dyDescent="0.3">
      <c r="A41" s="15">
        <f t="shared" si="0"/>
        <v>83</v>
      </c>
      <c r="B41" s="17">
        <v>439</v>
      </c>
      <c r="C41" s="17">
        <v>410</v>
      </c>
      <c r="D41" s="17">
        <v>335</v>
      </c>
      <c r="E41" s="17">
        <v>32</v>
      </c>
      <c r="F41" s="17">
        <v>31</v>
      </c>
      <c r="G41" s="15">
        <v>30</v>
      </c>
      <c r="H41" s="18">
        <v>5.7869999999999998E-2</v>
      </c>
    </row>
    <row r="42" spans="1:8" ht="14.4" x14ac:dyDescent="0.3">
      <c r="A42" s="15">
        <f t="shared" si="0"/>
        <v>84</v>
      </c>
      <c r="B42" s="17">
        <v>376</v>
      </c>
      <c r="C42" s="17">
        <v>355</v>
      </c>
      <c r="D42" s="17">
        <v>290</v>
      </c>
      <c r="E42" s="17">
        <v>23</v>
      </c>
      <c r="F42" s="17">
        <v>24</v>
      </c>
      <c r="G42" s="15">
        <v>22</v>
      </c>
      <c r="H42" s="18">
        <v>6.5079999999999999E-2</v>
      </c>
    </row>
    <row r="43" spans="1:8" ht="14.4" x14ac:dyDescent="0.3">
      <c r="A43" s="15">
        <f t="shared" si="0"/>
        <v>85</v>
      </c>
      <c r="B43" s="17">
        <v>296</v>
      </c>
      <c r="C43" s="17">
        <v>275</v>
      </c>
      <c r="D43" s="17">
        <v>215</v>
      </c>
      <c r="E43" s="17">
        <v>19</v>
      </c>
      <c r="F43" s="17">
        <v>20</v>
      </c>
      <c r="G43" s="15">
        <v>18</v>
      </c>
      <c r="H43" s="18">
        <v>7.3270000000000002E-2</v>
      </c>
    </row>
    <row r="44" spans="1:8" ht="14.4" x14ac:dyDescent="0.3">
      <c r="A44" s="15">
        <f t="shared" si="0"/>
        <v>86</v>
      </c>
      <c r="B44" s="17">
        <v>201</v>
      </c>
      <c r="C44" s="17">
        <v>190</v>
      </c>
      <c r="D44" s="17">
        <v>140</v>
      </c>
      <c r="E44" s="17">
        <v>18</v>
      </c>
      <c r="F44" s="17">
        <v>17</v>
      </c>
      <c r="G44" s="15">
        <v>17</v>
      </c>
      <c r="H44" s="18">
        <v>8.2589999999999997E-2</v>
      </c>
    </row>
    <row r="45" spans="1:8" ht="14.4" x14ac:dyDescent="0.3">
      <c r="A45" s="15">
        <f t="shared" si="0"/>
        <v>87</v>
      </c>
      <c r="B45" s="17">
        <v>133</v>
      </c>
      <c r="C45" s="17">
        <v>120</v>
      </c>
      <c r="D45" s="17">
        <v>95</v>
      </c>
      <c r="E45" s="17">
        <v>12</v>
      </c>
      <c r="F45" s="17">
        <v>13</v>
      </c>
      <c r="G45" s="15">
        <v>12</v>
      </c>
      <c r="H45" s="18">
        <v>9.3100000000000002E-2</v>
      </c>
    </row>
    <row r="46" spans="1:8" ht="14.4" x14ac:dyDescent="0.3">
      <c r="A46" s="15">
        <f t="shared" si="0"/>
        <v>88</v>
      </c>
      <c r="B46" s="17">
        <v>90</v>
      </c>
      <c r="C46" s="17">
        <v>85</v>
      </c>
      <c r="D46" s="17">
        <v>65</v>
      </c>
      <c r="E46" s="17">
        <v>12</v>
      </c>
      <c r="F46" s="17">
        <v>11</v>
      </c>
      <c r="G46" s="15">
        <v>11</v>
      </c>
      <c r="H46" s="18">
        <v>0.10496999999999999</v>
      </c>
    </row>
    <row r="47" spans="1:8" ht="14.4" x14ac:dyDescent="0.3">
      <c r="A47" s="15">
        <f t="shared" si="0"/>
        <v>89</v>
      </c>
      <c r="B47" s="17">
        <v>69</v>
      </c>
      <c r="C47" s="17">
        <v>62</v>
      </c>
      <c r="D47" s="17">
        <v>50</v>
      </c>
      <c r="E47" s="17">
        <v>8</v>
      </c>
      <c r="F47" s="17">
        <v>9</v>
      </c>
      <c r="G47" s="15">
        <v>8</v>
      </c>
      <c r="H47" s="18">
        <v>0.11814</v>
      </c>
    </row>
    <row r="48" spans="1:8" ht="14.4" x14ac:dyDescent="0.3">
      <c r="A48" s="15">
        <f t="shared" si="0"/>
        <v>90</v>
      </c>
      <c r="B48" s="17">
        <v>74</v>
      </c>
      <c r="C48" s="17">
        <v>70</v>
      </c>
      <c r="D48" s="17">
        <v>58</v>
      </c>
      <c r="E48" s="17">
        <v>8</v>
      </c>
      <c r="F48" s="17">
        <v>7</v>
      </c>
      <c r="G48" s="15">
        <v>7</v>
      </c>
      <c r="H48" s="18">
        <v>0.13261999999999999</v>
      </c>
    </row>
    <row r="49" spans="1:8" ht="14.4" x14ac:dyDescent="0.3">
      <c r="A49" s="15">
        <f t="shared" si="0"/>
        <v>91</v>
      </c>
      <c r="B49" s="17">
        <v>53</v>
      </c>
      <c r="C49" s="17">
        <v>48</v>
      </c>
      <c r="D49" s="17">
        <v>38</v>
      </c>
      <c r="E49" s="17">
        <v>9</v>
      </c>
      <c r="F49" s="17">
        <v>8</v>
      </c>
      <c r="G49" s="15">
        <v>9</v>
      </c>
      <c r="H49" s="18">
        <v>0.14773</v>
      </c>
    </row>
    <row r="50" spans="1:8" ht="14.4" x14ac:dyDescent="0.3">
      <c r="A50" s="15">
        <f t="shared" si="0"/>
        <v>92</v>
      </c>
      <c r="B50" s="17">
        <v>42</v>
      </c>
      <c r="C50" s="17">
        <v>35</v>
      </c>
      <c r="D50" s="17">
        <v>25</v>
      </c>
      <c r="E50" s="17">
        <v>8</v>
      </c>
      <c r="F50" s="17">
        <v>6</v>
      </c>
      <c r="G50" s="15">
        <v>7</v>
      </c>
      <c r="H50" s="18">
        <v>0.16328999999999999</v>
      </c>
    </row>
    <row r="51" spans="1:8" ht="14.4" x14ac:dyDescent="0.3">
      <c r="A51" s="15">
        <f t="shared" si="0"/>
        <v>93</v>
      </c>
      <c r="B51" s="17">
        <v>17</v>
      </c>
      <c r="C51" s="17">
        <v>15</v>
      </c>
      <c r="D51" s="17">
        <v>16</v>
      </c>
      <c r="E51" s="17">
        <v>4</v>
      </c>
      <c r="F51" s="17">
        <v>3</v>
      </c>
      <c r="G51" s="15">
        <v>3</v>
      </c>
      <c r="H51" s="18">
        <v>0.17927000000000001</v>
      </c>
    </row>
    <row r="52" spans="1:8" ht="14.4" x14ac:dyDescent="0.3">
      <c r="A52" s="15"/>
      <c r="B52" s="17"/>
      <c r="C52" s="17"/>
      <c r="D52" s="17"/>
      <c r="E52" s="17"/>
      <c r="F52" s="17"/>
      <c r="G52" s="15"/>
      <c r="H52" s="18"/>
    </row>
    <row r="53" spans="1:8" ht="14.4" x14ac:dyDescent="0.3">
      <c r="A53" s="2" t="s">
        <v>35</v>
      </c>
      <c r="H53" s="19"/>
    </row>
    <row r="54" spans="1:8" ht="14.4" x14ac:dyDescent="0.3">
      <c r="A54" s="2" t="s">
        <v>257</v>
      </c>
      <c r="H54" s="19"/>
    </row>
    <row r="55" spans="1:8" ht="14.4" x14ac:dyDescent="0.3">
      <c r="A55" s="2" t="s">
        <v>36</v>
      </c>
      <c r="C55" s="19">
        <v>0.7</v>
      </c>
      <c r="H55" s="19"/>
    </row>
    <row r="56" spans="1:8" ht="14.4" x14ac:dyDescent="0.3">
      <c r="A56" s="2" t="s">
        <v>37</v>
      </c>
      <c r="C56" s="19">
        <v>0.01</v>
      </c>
      <c r="H56" s="19"/>
    </row>
    <row r="57" spans="1:8" ht="14.4" x14ac:dyDescent="0.3">
      <c r="H57" s="19"/>
    </row>
    <row r="58" spans="1:8" ht="14.4" x14ac:dyDescent="0.3">
      <c r="A58" s="1" t="s">
        <v>259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outlinePr summaryBelow="0" summaryRight="0"/>
  </sheetPr>
  <dimension ref="A1:H91"/>
  <sheetViews>
    <sheetView zoomScale="115" zoomScaleNormal="115" workbookViewId="0"/>
  </sheetViews>
  <sheetFormatPr defaultColWidth="12.5546875" defaultRowHeight="15" customHeight="1" x14ac:dyDescent="0.3"/>
  <cols>
    <col min="1" max="1" width="18" style="2" customWidth="1"/>
    <col min="2" max="2" width="17.6640625" style="2" customWidth="1"/>
    <col min="3" max="3" width="14.44140625" style="2" customWidth="1"/>
    <col min="4" max="4" width="13.33203125" style="2" customWidth="1"/>
    <col min="5" max="5" width="12.5546875" style="2"/>
    <col min="6" max="8" width="15.33203125" style="2" customWidth="1"/>
    <col min="9" max="16384" width="12.5546875" style="2"/>
  </cols>
  <sheetData>
    <row r="1" spans="1:8" ht="15" customHeight="1" x14ac:dyDescent="0.3">
      <c r="A1" s="2" t="s">
        <v>286</v>
      </c>
    </row>
    <row r="3" spans="1:8" ht="14.4" x14ac:dyDescent="0.3">
      <c r="A3" s="1" t="s">
        <v>26</v>
      </c>
    </row>
    <row r="4" spans="1:8" ht="14.4" x14ac:dyDescent="0.3"/>
    <row r="5" spans="1:8" ht="14.4" x14ac:dyDescent="0.3">
      <c r="A5" s="1"/>
    </row>
    <row r="6" spans="1:8" ht="43.2" x14ac:dyDescent="0.3">
      <c r="A6" s="15" t="s">
        <v>1</v>
      </c>
      <c r="B6" s="20" t="s">
        <v>28</v>
      </c>
      <c r="C6" s="20" t="s">
        <v>29</v>
      </c>
      <c r="D6" s="20" t="s">
        <v>30</v>
      </c>
      <c r="E6" s="20" t="s">
        <v>31</v>
      </c>
      <c r="F6" s="20" t="s">
        <v>32</v>
      </c>
      <c r="G6" s="20" t="s">
        <v>33</v>
      </c>
      <c r="H6" s="20" t="s">
        <v>34</v>
      </c>
    </row>
    <row r="7" spans="1:8" ht="14.4" x14ac:dyDescent="0.3">
      <c r="A7" s="15">
        <v>55</v>
      </c>
      <c r="B7" s="17">
        <v>2884</v>
      </c>
      <c r="C7" s="17">
        <v>3045</v>
      </c>
      <c r="D7" s="17">
        <v>2813</v>
      </c>
      <c r="E7" s="17">
        <v>6</v>
      </c>
      <c r="F7" s="17">
        <v>7</v>
      </c>
      <c r="G7" s="15">
        <v>6</v>
      </c>
      <c r="H7" s="18">
        <v>1.72E-3</v>
      </c>
    </row>
    <row r="8" spans="1:8" ht="14.4" x14ac:dyDescent="0.3">
      <c r="A8" s="15">
        <f t="shared" ref="A8:A45" si="0">A7+1</f>
        <v>56</v>
      </c>
      <c r="B8" s="17">
        <v>3572</v>
      </c>
      <c r="C8" s="17">
        <v>3302</v>
      </c>
      <c r="D8" s="17">
        <v>3060</v>
      </c>
      <c r="E8" s="17">
        <v>9</v>
      </c>
      <c r="F8" s="17">
        <v>11</v>
      </c>
      <c r="G8" s="15">
        <v>10</v>
      </c>
      <c r="H8" s="18">
        <v>2.1199999999999999E-3</v>
      </c>
    </row>
    <row r="9" spans="1:8" ht="14.4" x14ac:dyDescent="0.3">
      <c r="A9" s="15">
        <f t="shared" si="0"/>
        <v>57</v>
      </c>
      <c r="B9" s="17">
        <v>3688</v>
      </c>
      <c r="C9" s="17">
        <v>3415</v>
      </c>
      <c r="D9" s="17">
        <v>3175</v>
      </c>
      <c r="E9" s="17">
        <v>15</v>
      </c>
      <c r="F9" s="17">
        <v>14</v>
      </c>
      <c r="G9" s="15">
        <v>14</v>
      </c>
      <c r="H9" s="18">
        <v>2.4599999999999999E-3</v>
      </c>
    </row>
    <row r="10" spans="1:8" ht="14.4" x14ac:dyDescent="0.3">
      <c r="A10" s="15">
        <f t="shared" si="0"/>
        <v>58</v>
      </c>
      <c r="B10" s="17">
        <v>3524</v>
      </c>
      <c r="C10" s="17">
        <v>3289</v>
      </c>
      <c r="D10" s="17">
        <v>3030</v>
      </c>
      <c r="E10" s="17">
        <v>18</v>
      </c>
      <c r="F10" s="17">
        <v>17</v>
      </c>
      <c r="G10" s="15">
        <v>17</v>
      </c>
      <c r="H10" s="18">
        <v>2.8500000000000001E-3</v>
      </c>
    </row>
    <row r="11" spans="1:8" ht="14.4" x14ac:dyDescent="0.3">
      <c r="A11" s="15">
        <f t="shared" si="0"/>
        <v>59</v>
      </c>
      <c r="B11" s="17">
        <v>3604</v>
      </c>
      <c r="C11" s="17">
        <v>3368</v>
      </c>
      <c r="D11" s="17">
        <v>3115</v>
      </c>
      <c r="E11" s="17">
        <v>14</v>
      </c>
      <c r="F11" s="17">
        <v>13</v>
      </c>
      <c r="G11" s="15">
        <v>13</v>
      </c>
      <c r="H11" s="18">
        <v>3.2799999999999999E-3</v>
      </c>
    </row>
    <row r="12" spans="1:8" ht="14.4" x14ac:dyDescent="0.3">
      <c r="A12" s="15">
        <f t="shared" si="0"/>
        <v>60</v>
      </c>
      <c r="B12" s="17">
        <v>3620</v>
      </c>
      <c r="C12" s="17">
        <v>3395</v>
      </c>
      <c r="D12" s="17">
        <v>3135</v>
      </c>
      <c r="E12" s="17">
        <v>15</v>
      </c>
      <c r="F12" s="17">
        <v>16</v>
      </c>
      <c r="G12" s="15">
        <v>15</v>
      </c>
      <c r="H12" s="18">
        <v>3.79E-3</v>
      </c>
    </row>
    <row r="13" spans="1:8" ht="14.4" x14ac:dyDescent="0.3">
      <c r="A13" s="15">
        <f t="shared" si="0"/>
        <v>61</v>
      </c>
      <c r="B13" s="17">
        <v>3535</v>
      </c>
      <c r="C13" s="17">
        <v>3275</v>
      </c>
      <c r="D13" s="17">
        <v>3010</v>
      </c>
      <c r="E13" s="17">
        <v>15</v>
      </c>
      <c r="F13" s="17">
        <v>14</v>
      </c>
      <c r="G13" s="15">
        <v>16</v>
      </c>
      <c r="H13" s="18">
        <v>4.3299999999999996E-3</v>
      </c>
    </row>
    <row r="14" spans="1:8" ht="14.4" x14ac:dyDescent="0.3">
      <c r="A14" s="15">
        <f t="shared" si="0"/>
        <v>62</v>
      </c>
      <c r="B14" s="17">
        <v>3667</v>
      </c>
      <c r="C14" s="17">
        <v>3412</v>
      </c>
      <c r="D14" s="17">
        <v>3145</v>
      </c>
      <c r="E14" s="17">
        <v>27</v>
      </c>
      <c r="F14" s="17">
        <v>25</v>
      </c>
      <c r="G14" s="15">
        <v>26</v>
      </c>
      <c r="H14" s="18">
        <v>5.1200000000000004E-3</v>
      </c>
    </row>
    <row r="15" spans="1:8" ht="14.4" x14ac:dyDescent="0.3">
      <c r="A15" s="15">
        <f t="shared" si="0"/>
        <v>63</v>
      </c>
      <c r="B15" s="17">
        <v>3233</v>
      </c>
      <c r="C15" s="17">
        <v>3070</v>
      </c>
      <c r="D15" s="17">
        <v>2830</v>
      </c>
      <c r="E15" s="17">
        <v>32</v>
      </c>
      <c r="F15" s="17">
        <v>30</v>
      </c>
      <c r="G15" s="15">
        <v>31</v>
      </c>
      <c r="H15" s="18">
        <v>5.9100000000000003E-3</v>
      </c>
    </row>
    <row r="16" spans="1:8" ht="14.4" x14ac:dyDescent="0.3">
      <c r="A16" s="15">
        <f t="shared" si="0"/>
        <v>64</v>
      </c>
      <c r="B16" s="17">
        <v>3206</v>
      </c>
      <c r="C16" s="17">
        <v>3021</v>
      </c>
      <c r="D16" s="17">
        <v>2790</v>
      </c>
      <c r="E16" s="17">
        <v>20</v>
      </c>
      <c r="F16" s="17">
        <v>22</v>
      </c>
      <c r="G16" s="15">
        <v>21</v>
      </c>
      <c r="H16" s="18">
        <v>6.5599999999999999E-3</v>
      </c>
    </row>
    <row r="17" spans="1:8" ht="14.4" x14ac:dyDescent="0.3">
      <c r="A17" s="15">
        <f t="shared" si="0"/>
        <v>65</v>
      </c>
      <c r="B17" s="17">
        <v>3096</v>
      </c>
      <c r="C17" s="17">
        <v>2910</v>
      </c>
      <c r="D17" s="17">
        <v>2685</v>
      </c>
      <c r="E17" s="17">
        <v>32</v>
      </c>
      <c r="F17" s="17">
        <v>31</v>
      </c>
      <c r="G17" s="15">
        <v>30</v>
      </c>
      <c r="H17" s="18">
        <v>7.4000000000000003E-3</v>
      </c>
    </row>
    <row r="18" spans="1:8" ht="14.4" x14ac:dyDescent="0.3">
      <c r="A18" s="15">
        <f t="shared" si="0"/>
        <v>66</v>
      </c>
      <c r="B18" s="17">
        <v>3275</v>
      </c>
      <c r="C18" s="17">
        <v>3050</v>
      </c>
      <c r="D18" s="17">
        <v>2810</v>
      </c>
      <c r="E18" s="17">
        <v>37</v>
      </c>
      <c r="F18" s="17">
        <v>36</v>
      </c>
      <c r="G18" s="15">
        <v>35</v>
      </c>
      <c r="H18" s="18">
        <v>8.3199999999999993E-3</v>
      </c>
    </row>
    <row r="19" spans="1:8" ht="14.4" x14ac:dyDescent="0.3">
      <c r="A19" s="15">
        <f t="shared" si="0"/>
        <v>67</v>
      </c>
      <c r="B19" s="17">
        <v>3154</v>
      </c>
      <c r="C19" s="17">
        <v>2935</v>
      </c>
      <c r="D19" s="17">
        <v>2700</v>
      </c>
      <c r="E19" s="17">
        <v>31</v>
      </c>
      <c r="F19" s="17">
        <v>30</v>
      </c>
      <c r="G19" s="15">
        <v>29</v>
      </c>
      <c r="H19" s="18">
        <v>9.1999999999999998E-3</v>
      </c>
    </row>
    <row r="20" spans="1:8" ht="14.4" x14ac:dyDescent="0.3">
      <c r="A20" s="15">
        <f t="shared" si="0"/>
        <v>68</v>
      </c>
      <c r="B20" s="17">
        <v>2868</v>
      </c>
      <c r="C20" s="17">
        <v>2648</v>
      </c>
      <c r="D20" s="17">
        <v>2435</v>
      </c>
      <c r="E20" s="17">
        <v>27</v>
      </c>
      <c r="F20" s="17">
        <v>28</v>
      </c>
      <c r="G20" s="15">
        <v>26</v>
      </c>
      <c r="H20" s="18">
        <v>1.017E-2</v>
      </c>
    </row>
    <row r="21" spans="1:8" ht="14.4" x14ac:dyDescent="0.3">
      <c r="A21" s="15">
        <f t="shared" si="0"/>
        <v>69</v>
      </c>
      <c r="B21" s="17">
        <v>2450</v>
      </c>
      <c r="C21" s="17">
        <v>2310</v>
      </c>
      <c r="D21" s="17">
        <v>2120</v>
      </c>
      <c r="E21" s="17">
        <v>38</v>
      </c>
      <c r="F21" s="17">
        <v>37</v>
      </c>
      <c r="G21" s="15">
        <v>36</v>
      </c>
      <c r="H21" s="18">
        <v>1.1259999999999999E-2</v>
      </c>
    </row>
    <row r="22" spans="1:8" ht="14.4" x14ac:dyDescent="0.3">
      <c r="A22" s="15">
        <f t="shared" si="0"/>
        <v>70</v>
      </c>
      <c r="B22" s="17">
        <v>2259</v>
      </c>
      <c r="C22" s="17">
        <v>2125</v>
      </c>
      <c r="D22" s="17">
        <v>1940</v>
      </c>
      <c r="E22" s="17">
        <v>40</v>
      </c>
      <c r="F22" s="17">
        <v>39</v>
      </c>
      <c r="G22" s="15">
        <v>39</v>
      </c>
      <c r="H22" s="18">
        <v>1.251E-2</v>
      </c>
    </row>
    <row r="23" spans="1:8" ht="14.4" x14ac:dyDescent="0.3">
      <c r="A23" s="15">
        <f t="shared" si="0"/>
        <v>71</v>
      </c>
      <c r="B23" s="17">
        <v>1868</v>
      </c>
      <c r="C23" s="17">
        <v>1772</v>
      </c>
      <c r="D23" s="17">
        <v>1620</v>
      </c>
      <c r="E23" s="17">
        <v>35</v>
      </c>
      <c r="F23" s="17">
        <v>34</v>
      </c>
      <c r="G23" s="15">
        <v>33</v>
      </c>
      <c r="H23" s="18">
        <v>1.396E-2</v>
      </c>
    </row>
    <row r="24" spans="1:8" ht="14.4" x14ac:dyDescent="0.3">
      <c r="A24" s="15">
        <f t="shared" si="0"/>
        <v>72</v>
      </c>
      <c r="B24" s="17">
        <v>1709</v>
      </c>
      <c r="C24" s="17">
        <v>1610</v>
      </c>
      <c r="D24" s="17">
        <v>1470</v>
      </c>
      <c r="E24" s="17">
        <v>41</v>
      </c>
      <c r="F24" s="17">
        <v>42</v>
      </c>
      <c r="G24" s="15">
        <v>40</v>
      </c>
      <c r="H24" s="18">
        <v>1.559E-2</v>
      </c>
    </row>
    <row r="25" spans="1:8" ht="14.4" x14ac:dyDescent="0.3">
      <c r="A25" s="15">
        <f t="shared" si="0"/>
        <v>73</v>
      </c>
      <c r="B25" s="17">
        <v>1619</v>
      </c>
      <c r="C25" s="17">
        <v>1525</v>
      </c>
      <c r="D25" s="17">
        <v>1385</v>
      </c>
      <c r="E25" s="17">
        <v>49</v>
      </c>
      <c r="F25" s="17">
        <v>48</v>
      </c>
      <c r="G25" s="15">
        <v>47</v>
      </c>
      <c r="H25" s="18">
        <v>1.745E-2</v>
      </c>
    </row>
    <row r="26" spans="1:8" ht="14.4" x14ac:dyDescent="0.3">
      <c r="A26" s="15">
        <f t="shared" si="0"/>
        <v>74</v>
      </c>
      <c r="B26" s="17">
        <v>1423</v>
      </c>
      <c r="C26" s="17">
        <v>1345</v>
      </c>
      <c r="D26" s="17">
        <v>1225</v>
      </c>
      <c r="E26" s="17">
        <v>35</v>
      </c>
      <c r="F26" s="17">
        <v>36</v>
      </c>
      <c r="G26" s="15">
        <v>34</v>
      </c>
      <c r="H26" s="18">
        <v>1.959E-2</v>
      </c>
    </row>
    <row r="27" spans="1:8" ht="14.4" x14ac:dyDescent="0.3">
      <c r="A27" s="15">
        <f t="shared" si="0"/>
        <v>75</v>
      </c>
      <c r="B27" s="17">
        <v>1381</v>
      </c>
      <c r="C27" s="17">
        <v>1290</v>
      </c>
      <c r="D27" s="17">
        <v>1170</v>
      </c>
      <c r="E27" s="17">
        <v>38</v>
      </c>
      <c r="F27" s="17">
        <v>39</v>
      </c>
      <c r="G27" s="15">
        <v>37</v>
      </c>
      <c r="H27" s="18">
        <v>2.2040000000000001E-2</v>
      </c>
    </row>
    <row r="28" spans="1:8" ht="14.4" x14ac:dyDescent="0.3">
      <c r="A28" s="15">
        <f t="shared" si="0"/>
        <v>76</v>
      </c>
      <c r="B28" s="17">
        <v>1275</v>
      </c>
      <c r="C28" s="17">
        <v>1185</v>
      </c>
      <c r="D28" s="17">
        <v>1065</v>
      </c>
      <c r="E28" s="17">
        <v>46</v>
      </c>
      <c r="F28" s="17">
        <v>45</v>
      </c>
      <c r="G28" s="15">
        <v>44</v>
      </c>
      <c r="H28" s="18">
        <v>2.4850000000000001E-2</v>
      </c>
    </row>
    <row r="29" spans="1:8" ht="14.4" x14ac:dyDescent="0.3">
      <c r="A29" s="15">
        <f t="shared" si="0"/>
        <v>77</v>
      </c>
      <c r="B29" s="17">
        <v>1111</v>
      </c>
      <c r="C29" s="17">
        <v>1045</v>
      </c>
      <c r="D29" s="17">
        <v>925</v>
      </c>
      <c r="E29" s="17">
        <v>29</v>
      </c>
      <c r="F29" s="17">
        <v>28</v>
      </c>
      <c r="G29" s="15">
        <v>27</v>
      </c>
      <c r="H29" s="18">
        <v>2.8049999999999999E-2</v>
      </c>
    </row>
    <row r="30" spans="1:8" ht="14.4" x14ac:dyDescent="0.3">
      <c r="A30" s="15">
        <f t="shared" si="0"/>
        <v>78</v>
      </c>
      <c r="B30" s="17">
        <v>969</v>
      </c>
      <c r="C30" s="17">
        <v>915</v>
      </c>
      <c r="D30" s="17">
        <v>805</v>
      </c>
      <c r="E30" s="17">
        <v>30</v>
      </c>
      <c r="F30" s="17">
        <v>31</v>
      </c>
      <c r="G30" s="15">
        <v>29</v>
      </c>
      <c r="H30" s="18">
        <v>3.1690000000000003E-2</v>
      </c>
    </row>
    <row r="31" spans="1:8" ht="14.4" x14ac:dyDescent="0.3">
      <c r="A31" s="15">
        <f t="shared" si="0"/>
        <v>79</v>
      </c>
      <c r="B31" s="17">
        <v>772</v>
      </c>
      <c r="C31" s="17">
        <v>735</v>
      </c>
      <c r="D31" s="17">
        <v>630</v>
      </c>
      <c r="E31" s="17">
        <v>20</v>
      </c>
      <c r="F31" s="17">
        <v>21</v>
      </c>
      <c r="G31" s="15">
        <v>19</v>
      </c>
      <c r="H31" s="18">
        <v>3.5830000000000001E-2</v>
      </c>
    </row>
    <row r="32" spans="1:8" ht="14.4" x14ac:dyDescent="0.3">
      <c r="A32" s="15">
        <f t="shared" si="0"/>
        <v>80</v>
      </c>
      <c r="B32" s="17">
        <v>704</v>
      </c>
      <c r="C32" s="17">
        <v>670</v>
      </c>
      <c r="D32" s="17">
        <v>570</v>
      </c>
      <c r="E32" s="17">
        <v>35</v>
      </c>
      <c r="F32" s="17">
        <v>33</v>
      </c>
      <c r="G32" s="15">
        <v>32</v>
      </c>
      <c r="H32" s="18">
        <v>4.079E-2</v>
      </c>
    </row>
    <row r="33" spans="1:8" ht="14.4" x14ac:dyDescent="0.3">
      <c r="A33" s="15">
        <f t="shared" si="0"/>
        <v>81</v>
      </c>
      <c r="B33" s="17">
        <v>540</v>
      </c>
      <c r="C33" s="17">
        <v>515</v>
      </c>
      <c r="D33" s="17">
        <v>435</v>
      </c>
      <c r="E33" s="17">
        <v>23</v>
      </c>
      <c r="F33" s="17">
        <v>24</v>
      </c>
      <c r="G33" s="15">
        <v>22</v>
      </c>
      <c r="H33" s="18">
        <v>4.5830000000000003E-2</v>
      </c>
    </row>
    <row r="34" spans="1:8" ht="14.4" x14ac:dyDescent="0.3">
      <c r="A34" s="15">
        <f t="shared" si="0"/>
        <v>82</v>
      </c>
      <c r="B34" s="17">
        <v>524</v>
      </c>
      <c r="C34" s="17">
        <v>495</v>
      </c>
      <c r="D34" s="17">
        <v>410</v>
      </c>
      <c r="E34" s="17">
        <v>27</v>
      </c>
      <c r="F34" s="17">
        <v>26</v>
      </c>
      <c r="G34" s="15">
        <v>25</v>
      </c>
      <c r="H34" s="18">
        <v>5.1499999999999997E-2</v>
      </c>
    </row>
    <row r="35" spans="1:8" ht="14.4" x14ac:dyDescent="0.3">
      <c r="A35" s="15">
        <f t="shared" si="0"/>
        <v>83</v>
      </c>
      <c r="B35" s="17">
        <v>439</v>
      </c>
      <c r="C35" s="17">
        <v>410</v>
      </c>
      <c r="D35" s="17">
        <v>335</v>
      </c>
      <c r="E35" s="17">
        <v>32</v>
      </c>
      <c r="F35" s="17">
        <v>31</v>
      </c>
      <c r="G35" s="15">
        <v>30</v>
      </c>
      <c r="H35" s="18">
        <v>5.7869999999999998E-2</v>
      </c>
    </row>
    <row r="36" spans="1:8" ht="14.4" x14ac:dyDescent="0.3">
      <c r="A36" s="15">
        <f t="shared" si="0"/>
        <v>84</v>
      </c>
      <c r="B36" s="17">
        <v>376</v>
      </c>
      <c r="C36" s="17">
        <v>355</v>
      </c>
      <c r="D36" s="17">
        <v>290</v>
      </c>
      <c r="E36" s="17">
        <v>23</v>
      </c>
      <c r="F36" s="17">
        <v>24</v>
      </c>
      <c r="G36" s="15">
        <v>22</v>
      </c>
      <c r="H36" s="18">
        <v>6.5079999999999999E-2</v>
      </c>
    </row>
    <row r="37" spans="1:8" ht="14.4" x14ac:dyDescent="0.3">
      <c r="A37" s="15">
        <f t="shared" si="0"/>
        <v>85</v>
      </c>
      <c r="B37" s="17">
        <v>296</v>
      </c>
      <c r="C37" s="17">
        <v>275</v>
      </c>
      <c r="D37" s="17">
        <v>215</v>
      </c>
      <c r="E37" s="17">
        <v>19</v>
      </c>
      <c r="F37" s="17">
        <v>20</v>
      </c>
      <c r="G37" s="15">
        <v>18</v>
      </c>
      <c r="H37" s="18">
        <v>7.3270000000000002E-2</v>
      </c>
    </row>
    <row r="38" spans="1:8" ht="14.4" x14ac:dyDescent="0.3">
      <c r="A38" s="15">
        <f t="shared" si="0"/>
        <v>86</v>
      </c>
      <c r="B38" s="17">
        <v>201</v>
      </c>
      <c r="C38" s="17">
        <v>190</v>
      </c>
      <c r="D38" s="17">
        <v>140</v>
      </c>
      <c r="E38" s="17">
        <v>18</v>
      </c>
      <c r="F38" s="17">
        <v>17</v>
      </c>
      <c r="G38" s="15">
        <v>17</v>
      </c>
      <c r="H38" s="18">
        <v>8.2589999999999997E-2</v>
      </c>
    </row>
    <row r="39" spans="1:8" ht="14.4" x14ac:dyDescent="0.3">
      <c r="A39" s="15">
        <f t="shared" si="0"/>
        <v>87</v>
      </c>
      <c r="B39" s="17">
        <v>133</v>
      </c>
      <c r="C39" s="17">
        <v>120</v>
      </c>
      <c r="D39" s="17">
        <v>95</v>
      </c>
      <c r="E39" s="17">
        <v>12</v>
      </c>
      <c r="F39" s="17">
        <v>13</v>
      </c>
      <c r="G39" s="15">
        <v>12</v>
      </c>
      <c r="H39" s="18">
        <v>9.3100000000000002E-2</v>
      </c>
    </row>
    <row r="40" spans="1:8" ht="14.4" x14ac:dyDescent="0.3">
      <c r="A40" s="15">
        <f t="shared" si="0"/>
        <v>88</v>
      </c>
      <c r="B40" s="17">
        <v>90</v>
      </c>
      <c r="C40" s="17">
        <v>85</v>
      </c>
      <c r="D40" s="17">
        <v>65</v>
      </c>
      <c r="E40" s="17">
        <v>12</v>
      </c>
      <c r="F40" s="17">
        <v>11</v>
      </c>
      <c r="G40" s="15">
        <v>11</v>
      </c>
      <c r="H40" s="18">
        <v>0.10496999999999999</v>
      </c>
    </row>
    <row r="41" spans="1:8" ht="14.4" x14ac:dyDescent="0.3">
      <c r="A41" s="15">
        <f t="shared" si="0"/>
        <v>89</v>
      </c>
      <c r="B41" s="17">
        <v>69</v>
      </c>
      <c r="C41" s="17">
        <v>62</v>
      </c>
      <c r="D41" s="17">
        <v>50</v>
      </c>
      <c r="E41" s="17">
        <v>8</v>
      </c>
      <c r="F41" s="17">
        <v>9</v>
      </c>
      <c r="G41" s="15">
        <v>8</v>
      </c>
      <c r="H41" s="18">
        <v>0.11814</v>
      </c>
    </row>
    <row r="42" spans="1:8" ht="14.4" x14ac:dyDescent="0.3">
      <c r="A42" s="15">
        <f t="shared" si="0"/>
        <v>90</v>
      </c>
      <c r="B42" s="17">
        <v>74</v>
      </c>
      <c r="C42" s="17">
        <v>70</v>
      </c>
      <c r="D42" s="17">
        <v>58</v>
      </c>
      <c r="E42" s="17">
        <v>8</v>
      </c>
      <c r="F42" s="17">
        <v>7</v>
      </c>
      <c r="G42" s="15">
        <v>7</v>
      </c>
      <c r="H42" s="18">
        <v>0.13261999999999999</v>
      </c>
    </row>
    <row r="43" spans="1:8" ht="14.4" x14ac:dyDescent="0.3">
      <c r="A43" s="15">
        <f t="shared" si="0"/>
        <v>91</v>
      </c>
      <c r="B43" s="17">
        <v>53</v>
      </c>
      <c r="C43" s="17">
        <v>48</v>
      </c>
      <c r="D43" s="17">
        <v>38</v>
      </c>
      <c r="E43" s="17">
        <v>9</v>
      </c>
      <c r="F43" s="17">
        <v>8</v>
      </c>
      <c r="G43" s="15">
        <v>9</v>
      </c>
      <c r="H43" s="18">
        <v>0.14773</v>
      </c>
    </row>
    <row r="44" spans="1:8" ht="14.4" x14ac:dyDescent="0.3">
      <c r="A44" s="15">
        <f t="shared" si="0"/>
        <v>92</v>
      </c>
      <c r="B44" s="17">
        <v>42</v>
      </c>
      <c r="C44" s="17">
        <v>35</v>
      </c>
      <c r="D44" s="17">
        <v>25</v>
      </c>
      <c r="E44" s="17">
        <v>8</v>
      </c>
      <c r="F44" s="17">
        <v>6</v>
      </c>
      <c r="G44" s="15">
        <v>7</v>
      </c>
      <c r="H44" s="18">
        <v>0.16328999999999999</v>
      </c>
    </row>
    <row r="45" spans="1:8" ht="14.4" x14ac:dyDescent="0.3">
      <c r="A45" s="15">
        <f t="shared" si="0"/>
        <v>93</v>
      </c>
      <c r="B45" s="17">
        <v>17</v>
      </c>
      <c r="C45" s="17">
        <v>15</v>
      </c>
      <c r="D45" s="17">
        <v>16</v>
      </c>
      <c r="E45" s="17">
        <v>4</v>
      </c>
      <c r="F45" s="17">
        <v>3</v>
      </c>
      <c r="G45" s="15">
        <v>3</v>
      </c>
      <c r="H45" s="18">
        <v>0.17927000000000001</v>
      </c>
    </row>
    <row r="46" spans="1:8" ht="14.4" x14ac:dyDescent="0.3">
      <c r="A46" s="2" t="s">
        <v>36</v>
      </c>
      <c r="C46" s="19">
        <v>0.7</v>
      </c>
      <c r="H46" s="19"/>
    </row>
    <row r="47" spans="1:8" ht="14.4" x14ac:dyDescent="0.3">
      <c r="A47" s="2" t="s">
        <v>37</v>
      </c>
      <c r="C47" s="19">
        <v>0.01</v>
      </c>
      <c r="H47" s="19"/>
    </row>
    <row r="48" spans="1:8" ht="14.4" x14ac:dyDescent="0.3">
      <c r="H48" s="19"/>
    </row>
    <row r="49" spans="1:7" ht="14.4" x14ac:dyDescent="0.3">
      <c r="A49" s="1"/>
    </row>
    <row r="50" spans="1:7" ht="14.4" x14ac:dyDescent="0.3">
      <c r="A50" s="1" t="s">
        <v>258</v>
      </c>
    </row>
    <row r="52" spans="1:7" ht="43.2" x14ac:dyDescent="0.3">
      <c r="A52" s="2" t="s">
        <v>1</v>
      </c>
      <c r="B52" s="16" t="s">
        <v>38</v>
      </c>
      <c r="C52" s="16" t="s">
        <v>39</v>
      </c>
      <c r="D52" s="16" t="s">
        <v>40</v>
      </c>
      <c r="E52" s="16" t="s">
        <v>41</v>
      </c>
      <c r="F52" s="16" t="s">
        <v>42</v>
      </c>
      <c r="G52" s="16" t="s">
        <v>43</v>
      </c>
    </row>
    <row r="53" spans="1:7" ht="14.4" x14ac:dyDescent="0.3">
      <c r="A53" s="2">
        <v>55</v>
      </c>
      <c r="B53" s="18">
        <f>E7/B7</f>
        <v>2.0804438280166435E-3</v>
      </c>
      <c r="C53" s="18">
        <f>F7/C7</f>
        <v>2.2988505747126436E-3</v>
      </c>
      <c r="D53" s="18">
        <f>G7/D7</f>
        <v>2.1329541414859582E-3</v>
      </c>
      <c r="E53" s="21">
        <f t="shared" ref="E53:E91" si="1">AVERAGE(B53:D53)</f>
        <v>2.1707495147384151E-3</v>
      </c>
      <c r="F53" s="21">
        <f t="shared" ref="F53:F91" si="2">E53*$C$46+(1-$C$46)*H7</f>
        <v>2.0355246603168905E-3</v>
      </c>
      <c r="G53" s="19">
        <f t="shared" ref="G53:G91" si="3">F53*(1-$C$47)^(A53-$A$53)</f>
        <v>2.0355246603168905E-3</v>
      </c>
    </row>
    <row r="54" spans="1:7" ht="14.4" x14ac:dyDescent="0.3">
      <c r="A54" s="2">
        <f t="shared" ref="A54:A91" si="4">A53+1</f>
        <v>56</v>
      </c>
      <c r="B54" s="18">
        <f t="shared" ref="B54:D54" si="5">E8/B8</f>
        <v>2.5195968645016797E-3</v>
      </c>
      <c r="C54" s="18">
        <f t="shared" si="5"/>
        <v>3.331314354936402E-3</v>
      </c>
      <c r="D54" s="18">
        <f t="shared" si="5"/>
        <v>3.2679738562091504E-3</v>
      </c>
      <c r="E54" s="21">
        <f t="shared" si="1"/>
        <v>3.0396283585490771E-3</v>
      </c>
      <c r="F54" s="21">
        <f t="shared" si="2"/>
        <v>2.7637398509843536E-3</v>
      </c>
      <c r="G54" s="19">
        <f t="shared" si="3"/>
        <v>2.7361024524745099E-3</v>
      </c>
    </row>
    <row r="55" spans="1:7" ht="14.4" x14ac:dyDescent="0.3">
      <c r="A55" s="2">
        <f t="shared" si="4"/>
        <v>57</v>
      </c>
      <c r="B55" s="18">
        <f t="shared" ref="B55:D55" si="6">E9/B9</f>
        <v>4.0672451193058566E-3</v>
      </c>
      <c r="C55" s="18">
        <f t="shared" si="6"/>
        <v>4.0995607613469988E-3</v>
      </c>
      <c r="D55" s="18">
        <f t="shared" si="6"/>
        <v>4.4094488188976379E-3</v>
      </c>
      <c r="E55" s="21">
        <f t="shared" si="1"/>
        <v>4.1920848998501644E-3</v>
      </c>
      <c r="F55" s="21">
        <f t="shared" si="2"/>
        <v>3.672459429895115E-3</v>
      </c>
      <c r="G55" s="19">
        <f t="shared" si="3"/>
        <v>3.5993774872402021E-3</v>
      </c>
    </row>
    <row r="56" spans="1:7" ht="14.4" x14ac:dyDescent="0.3">
      <c r="A56" s="2">
        <f t="shared" si="4"/>
        <v>58</v>
      </c>
      <c r="B56" s="18">
        <f t="shared" ref="B56:D56" si="7">E10/B10</f>
        <v>5.1078320090805901E-3</v>
      </c>
      <c r="C56" s="18">
        <f t="shared" si="7"/>
        <v>5.168744299179082E-3</v>
      </c>
      <c r="D56" s="18">
        <f t="shared" si="7"/>
        <v>5.6105610561056106E-3</v>
      </c>
      <c r="E56" s="21">
        <f t="shared" si="1"/>
        <v>5.2957124547884276E-3</v>
      </c>
      <c r="F56" s="21">
        <f t="shared" si="2"/>
        <v>4.5619987183518991E-3</v>
      </c>
      <c r="G56" s="19">
        <f t="shared" si="3"/>
        <v>4.4265027944181291E-3</v>
      </c>
    </row>
    <row r="57" spans="1:7" ht="14.4" x14ac:dyDescent="0.3">
      <c r="A57" s="2">
        <f t="shared" si="4"/>
        <v>59</v>
      </c>
      <c r="B57" s="18">
        <f t="shared" ref="B57:D57" si="8">E11/B11</f>
        <v>3.8845726970033298E-3</v>
      </c>
      <c r="C57" s="18">
        <f t="shared" si="8"/>
        <v>3.859857482185273E-3</v>
      </c>
      <c r="D57" s="18">
        <f t="shared" si="8"/>
        <v>4.1733547351524881E-3</v>
      </c>
      <c r="E57" s="21">
        <f t="shared" si="1"/>
        <v>3.9725949714470308E-3</v>
      </c>
      <c r="F57" s="21">
        <f t="shared" si="2"/>
        <v>3.7648164800129216E-3</v>
      </c>
      <c r="G57" s="19">
        <f t="shared" si="3"/>
        <v>3.6164676890826572E-3</v>
      </c>
    </row>
    <row r="58" spans="1:7" ht="14.4" x14ac:dyDescent="0.3">
      <c r="A58" s="2">
        <f t="shared" si="4"/>
        <v>60</v>
      </c>
      <c r="B58" s="18">
        <f t="shared" ref="B58:D58" si="9">E12/B12</f>
        <v>4.1436464088397788E-3</v>
      </c>
      <c r="C58" s="18">
        <f t="shared" si="9"/>
        <v>4.7128129602356404E-3</v>
      </c>
      <c r="D58" s="18">
        <f t="shared" si="9"/>
        <v>4.7846889952153108E-3</v>
      </c>
      <c r="E58" s="21">
        <f t="shared" si="1"/>
        <v>4.5470494547635775E-3</v>
      </c>
      <c r="F58" s="21">
        <f t="shared" si="2"/>
        <v>4.3199346183345044E-3</v>
      </c>
      <c r="G58" s="19">
        <f t="shared" si="3"/>
        <v>4.1082148382546677E-3</v>
      </c>
    </row>
    <row r="59" spans="1:7" ht="14.4" x14ac:dyDescent="0.3">
      <c r="A59" s="2">
        <f t="shared" si="4"/>
        <v>61</v>
      </c>
      <c r="B59" s="18">
        <f t="shared" ref="B59:D59" si="10">E13/B13</f>
        <v>4.2432814710042432E-3</v>
      </c>
      <c r="C59" s="18">
        <f t="shared" si="10"/>
        <v>4.2748091603053437E-3</v>
      </c>
      <c r="D59" s="18">
        <f t="shared" si="10"/>
        <v>5.3156146179401996E-3</v>
      </c>
      <c r="E59" s="21">
        <f t="shared" si="1"/>
        <v>4.6112350830832616E-3</v>
      </c>
      <c r="F59" s="21">
        <f t="shared" si="2"/>
        <v>4.5268645581582828E-3</v>
      </c>
      <c r="G59" s="19">
        <f t="shared" si="3"/>
        <v>4.2619531205329514E-3</v>
      </c>
    </row>
    <row r="60" spans="1:7" ht="14.4" x14ac:dyDescent="0.3">
      <c r="A60" s="2">
        <f t="shared" si="4"/>
        <v>62</v>
      </c>
      <c r="B60" s="18">
        <f t="shared" ref="B60:D60" si="11">E14/B14</f>
        <v>7.362967002999727E-3</v>
      </c>
      <c r="C60" s="18">
        <f t="shared" si="11"/>
        <v>7.3270808909730364E-3</v>
      </c>
      <c r="D60" s="18">
        <f t="shared" si="11"/>
        <v>8.2670906200317962E-3</v>
      </c>
      <c r="E60" s="21">
        <f t="shared" si="1"/>
        <v>7.6523795046681865E-3</v>
      </c>
      <c r="F60" s="21">
        <f t="shared" si="2"/>
        <v>6.8926656532677299E-3</v>
      </c>
      <c r="G60" s="19">
        <f t="shared" si="3"/>
        <v>6.4244148101195468E-3</v>
      </c>
    </row>
    <row r="61" spans="1:7" ht="14.4" x14ac:dyDescent="0.3">
      <c r="A61" s="2">
        <f t="shared" si="4"/>
        <v>63</v>
      </c>
      <c r="B61" s="18">
        <f t="shared" ref="B61:D61" si="12">E15/B15</f>
        <v>9.8979276214042691E-3</v>
      </c>
      <c r="C61" s="18">
        <f t="shared" si="12"/>
        <v>9.7719869706840382E-3</v>
      </c>
      <c r="D61" s="18">
        <f t="shared" si="12"/>
        <v>1.0954063604240283E-2</v>
      </c>
      <c r="E61" s="21">
        <f t="shared" si="1"/>
        <v>1.020799273210953E-2</v>
      </c>
      <c r="F61" s="21">
        <f t="shared" si="2"/>
        <v>8.9185949124766708E-3</v>
      </c>
      <c r="G61" s="19">
        <f t="shared" si="3"/>
        <v>8.2295861372396872E-3</v>
      </c>
    </row>
    <row r="62" spans="1:7" ht="14.4" x14ac:dyDescent="0.3">
      <c r="A62" s="2">
        <f t="shared" si="4"/>
        <v>64</v>
      </c>
      <c r="B62" s="18">
        <f t="shared" ref="B62:D62" si="13">E16/B16</f>
        <v>6.238303181534623E-3</v>
      </c>
      <c r="C62" s="18">
        <f t="shared" si="13"/>
        <v>7.2823568354849384E-3</v>
      </c>
      <c r="D62" s="18">
        <f t="shared" si="13"/>
        <v>7.526881720430108E-3</v>
      </c>
      <c r="E62" s="21">
        <f t="shared" si="1"/>
        <v>7.0158472458165567E-3</v>
      </c>
      <c r="F62" s="21">
        <f t="shared" si="2"/>
        <v>6.8790930720715893E-3</v>
      </c>
      <c r="G62" s="19">
        <f t="shared" si="3"/>
        <v>6.2841701683826207E-3</v>
      </c>
    </row>
    <row r="63" spans="1:7" ht="14.4" x14ac:dyDescent="0.3">
      <c r="A63" s="2">
        <f t="shared" si="4"/>
        <v>65</v>
      </c>
      <c r="B63" s="18">
        <f t="shared" ref="B63:D63" si="14">E17/B17</f>
        <v>1.0335917312661499E-2</v>
      </c>
      <c r="C63" s="18">
        <f t="shared" si="14"/>
        <v>1.0652920962199313E-2</v>
      </c>
      <c r="D63" s="18">
        <f t="shared" si="14"/>
        <v>1.11731843575419E-2</v>
      </c>
      <c r="E63" s="21">
        <f t="shared" si="1"/>
        <v>1.0720674210800904E-2</v>
      </c>
      <c r="F63" s="21">
        <f t="shared" si="2"/>
        <v>9.7244719475606325E-3</v>
      </c>
      <c r="G63" s="19">
        <f t="shared" si="3"/>
        <v>8.794638118299794E-3</v>
      </c>
    </row>
    <row r="64" spans="1:7" ht="14.4" x14ac:dyDescent="0.3">
      <c r="A64" s="2">
        <f t="shared" si="4"/>
        <v>66</v>
      </c>
      <c r="B64" s="18">
        <f t="shared" ref="B64:D64" si="15">E18/B18</f>
        <v>1.1297709923664122E-2</v>
      </c>
      <c r="C64" s="18">
        <f t="shared" si="15"/>
        <v>1.180327868852459E-2</v>
      </c>
      <c r="D64" s="18">
        <f t="shared" si="15"/>
        <v>1.2455516014234875E-2</v>
      </c>
      <c r="E64" s="21">
        <f t="shared" si="1"/>
        <v>1.1852168208807863E-2</v>
      </c>
      <c r="F64" s="21">
        <f t="shared" si="2"/>
        <v>1.0792517746165504E-2</v>
      </c>
      <c r="G64" s="19">
        <f t="shared" si="3"/>
        <v>9.6629539979080376E-3</v>
      </c>
    </row>
    <row r="65" spans="1:7" ht="14.4" x14ac:dyDescent="0.3">
      <c r="A65" s="2">
        <f t="shared" si="4"/>
        <v>67</v>
      </c>
      <c r="B65" s="18">
        <f t="shared" ref="B65:D65" si="16">E19/B19</f>
        <v>9.8287888395688014E-3</v>
      </c>
      <c r="C65" s="18">
        <f t="shared" si="16"/>
        <v>1.0221465076660987E-2</v>
      </c>
      <c r="D65" s="18">
        <f t="shared" si="16"/>
        <v>1.074074074074074E-2</v>
      </c>
      <c r="E65" s="21">
        <f t="shared" si="1"/>
        <v>1.0263664885656843E-2</v>
      </c>
      <c r="F65" s="21">
        <f t="shared" si="2"/>
        <v>9.9445654199597899E-3</v>
      </c>
      <c r="G65" s="19">
        <f t="shared" si="3"/>
        <v>8.8147123440437125E-3</v>
      </c>
    </row>
    <row r="66" spans="1:7" ht="14.4" x14ac:dyDescent="0.3">
      <c r="A66" s="2">
        <f t="shared" si="4"/>
        <v>68</v>
      </c>
      <c r="B66" s="18">
        <f t="shared" ref="B66:D66" si="17">E20/B20</f>
        <v>9.4142259414225944E-3</v>
      </c>
      <c r="C66" s="18">
        <f t="shared" si="17"/>
        <v>1.0574018126888218E-2</v>
      </c>
      <c r="D66" s="18">
        <f t="shared" si="17"/>
        <v>1.0677618069815195E-2</v>
      </c>
      <c r="E66" s="21">
        <f t="shared" si="1"/>
        <v>1.0221954046042002E-2</v>
      </c>
      <c r="F66" s="21">
        <f t="shared" si="2"/>
        <v>1.0206367832229401E-2</v>
      </c>
      <c r="G66" s="19">
        <f t="shared" si="3"/>
        <v>8.9563023412417009E-3</v>
      </c>
    </row>
    <row r="67" spans="1:7" ht="14.4" x14ac:dyDescent="0.3">
      <c r="A67" s="2">
        <f t="shared" si="4"/>
        <v>69</v>
      </c>
      <c r="B67" s="18">
        <f t="shared" ref="B67:D67" si="18">E21/B21</f>
        <v>1.5510204081632653E-2</v>
      </c>
      <c r="C67" s="18">
        <f t="shared" si="18"/>
        <v>1.6017316017316017E-2</v>
      </c>
      <c r="D67" s="18">
        <f t="shared" si="18"/>
        <v>1.6981132075471698E-2</v>
      </c>
      <c r="E67" s="21">
        <f t="shared" si="1"/>
        <v>1.6169550724806789E-2</v>
      </c>
      <c r="F67" s="21">
        <f t="shared" si="2"/>
        <v>1.4696685507364752E-2</v>
      </c>
      <c r="G67" s="19">
        <f t="shared" si="3"/>
        <v>1.2767683996105653E-2</v>
      </c>
    </row>
    <row r="68" spans="1:7" ht="14.4" x14ac:dyDescent="0.3">
      <c r="A68" s="2">
        <f t="shared" si="4"/>
        <v>70</v>
      </c>
      <c r="B68" s="18">
        <f t="shared" ref="B68:D68" si="19">E22/B22</f>
        <v>1.7706949977866312E-2</v>
      </c>
      <c r="C68" s="18">
        <f t="shared" si="19"/>
        <v>1.8352941176470589E-2</v>
      </c>
      <c r="D68" s="18">
        <f t="shared" si="19"/>
        <v>2.0103092783505156E-2</v>
      </c>
      <c r="E68" s="21">
        <f t="shared" si="1"/>
        <v>1.8720994645947352E-2</v>
      </c>
      <c r="F68" s="21">
        <f t="shared" si="2"/>
        <v>1.6857696252163146E-2</v>
      </c>
      <c r="G68" s="19">
        <f t="shared" si="3"/>
        <v>1.4498602501678049E-2</v>
      </c>
    </row>
    <row r="69" spans="1:7" ht="14.4" x14ac:dyDescent="0.3">
      <c r="A69" s="2">
        <f t="shared" si="4"/>
        <v>71</v>
      </c>
      <c r="B69" s="18">
        <f t="shared" ref="B69:D69" si="20">E23/B23</f>
        <v>1.873661670235546E-2</v>
      </c>
      <c r="C69" s="18">
        <f t="shared" si="20"/>
        <v>1.9187358916478554E-2</v>
      </c>
      <c r="D69" s="18">
        <f t="shared" si="20"/>
        <v>2.0370370370370372E-2</v>
      </c>
      <c r="E69" s="21">
        <f t="shared" si="1"/>
        <v>1.9431448663068129E-2</v>
      </c>
      <c r="F69" s="21">
        <f t="shared" si="2"/>
        <v>1.779001406414769E-2</v>
      </c>
      <c r="G69" s="19">
        <f t="shared" si="3"/>
        <v>1.5147445722805679E-2</v>
      </c>
    </row>
    <row r="70" spans="1:7" ht="14.4" x14ac:dyDescent="0.3">
      <c r="A70" s="2">
        <f t="shared" si="4"/>
        <v>72</v>
      </c>
      <c r="B70" s="18">
        <f t="shared" ref="B70:D70" si="21">E24/B24</f>
        <v>2.3990637799882971E-2</v>
      </c>
      <c r="C70" s="18">
        <f t="shared" si="21"/>
        <v>2.6086956521739129E-2</v>
      </c>
      <c r="D70" s="18">
        <f t="shared" si="21"/>
        <v>2.7210884353741496E-2</v>
      </c>
      <c r="E70" s="21">
        <f t="shared" si="1"/>
        <v>2.5762826225121199E-2</v>
      </c>
      <c r="F70" s="21">
        <f t="shared" si="2"/>
        <v>2.271097835758484E-2</v>
      </c>
      <c r="G70" s="19">
        <f t="shared" si="3"/>
        <v>1.914406462161581E-2</v>
      </c>
    </row>
    <row r="71" spans="1:7" ht="14.4" x14ac:dyDescent="0.3">
      <c r="A71" s="2">
        <f t="shared" si="4"/>
        <v>73</v>
      </c>
      <c r="B71" s="18">
        <f t="shared" ref="B71:D71" si="22">E25/B25</f>
        <v>3.0265596046942556E-2</v>
      </c>
      <c r="C71" s="18">
        <f t="shared" si="22"/>
        <v>3.1475409836065574E-2</v>
      </c>
      <c r="D71" s="18">
        <f t="shared" si="22"/>
        <v>3.393501805054152E-2</v>
      </c>
      <c r="E71" s="21">
        <f t="shared" si="1"/>
        <v>3.1892007977849884E-2</v>
      </c>
      <c r="F71" s="21">
        <f t="shared" si="2"/>
        <v>2.7559405584494916E-2</v>
      </c>
      <c r="G71" s="19">
        <f t="shared" si="3"/>
        <v>2.2998703217645397E-2</v>
      </c>
    </row>
    <row r="72" spans="1:7" ht="14.4" x14ac:dyDescent="0.3">
      <c r="A72" s="2">
        <f t="shared" si="4"/>
        <v>74</v>
      </c>
      <c r="B72" s="18">
        <f t="shared" ref="B72:D72" si="23">E26/B26</f>
        <v>2.4595924104005622E-2</v>
      </c>
      <c r="C72" s="18">
        <f t="shared" si="23"/>
        <v>2.6765799256505577E-2</v>
      </c>
      <c r="D72" s="18">
        <f t="shared" si="23"/>
        <v>2.7755102040816326E-2</v>
      </c>
      <c r="E72" s="21">
        <f t="shared" si="1"/>
        <v>2.6372275133775842E-2</v>
      </c>
      <c r="F72" s="21">
        <f t="shared" si="2"/>
        <v>2.4337592593643088E-2</v>
      </c>
      <c r="G72" s="19">
        <f t="shared" si="3"/>
        <v>2.0106955380561269E-2</v>
      </c>
    </row>
    <row r="73" spans="1:7" ht="14.4" x14ac:dyDescent="0.3">
      <c r="A73" s="2">
        <f t="shared" si="4"/>
        <v>75</v>
      </c>
      <c r="B73" s="18">
        <f t="shared" ref="B73:D73" si="24">E27/B27</f>
        <v>2.7516292541636494E-2</v>
      </c>
      <c r="C73" s="18">
        <f t="shared" si="24"/>
        <v>3.0232558139534883E-2</v>
      </c>
      <c r="D73" s="18">
        <f t="shared" si="24"/>
        <v>3.1623931623931623E-2</v>
      </c>
      <c r="E73" s="21">
        <f t="shared" si="1"/>
        <v>2.9790927435034333E-2</v>
      </c>
      <c r="F73" s="21">
        <f t="shared" si="2"/>
        <v>2.7465649204524031E-2</v>
      </c>
      <c r="G73" s="19">
        <f t="shared" si="3"/>
        <v>2.2464345029992065E-2</v>
      </c>
    </row>
    <row r="74" spans="1:7" ht="14.4" x14ac:dyDescent="0.3">
      <c r="A74" s="2">
        <f t="shared" si="4"/>
        <v>76</v>
      </c>
      <c r="B74" s="18">
        <f t="shared" ref="B74:D74" si="25">E28/B28</f>
        <v>3.607843137254902E-2</v>
      </c>
      <c r="C74" s="18">
        <f t="shared" si="25"/>
        <v>3.7974683544303799E-2</v>
      </c>
      <c r="D74" s="18">
        <f t="shared" si="25"/>
        <v>4.1314553990610327E-2</v>
      </c>
      <c r="E74" s="21">
        <f t="shared" si="1"/>
        <v>3.8455889635821049E-2</v>
      </c>
      <c r="F74" s="21">
        <f t="shared" si="2"/>
        <v>3.4374122745074731E-2</v>
      </c>
      <c r="G74" s="19">
        <f t="shared" si="3"/>
        <v>2.7833685132345229E-2</v>
      </c>
    </row>
    <row r="75" spans="1:7" ht="14.4" x14ac:dyDescent="0.3">
      <c r="A75" s="2">
        <f t="shared" si="4"/>
        <v>77</v>
      </c>
      <c r="B75" s="18">
        <f t="shared" ref="B75:D75" si="26">E29/B29</f>
        <v>2.6102610261026102E-2</v>
      </c>
      <c r="C75" s="18">
        <f t="shared" si="26"/>
        <v>2.6794258373205742E-2</v>
      </c>
      <c r="D75" s="18">
        <f t="shared" si="26"/>
        <v>2.9189189189189189E-2</v>
      </c>
      <c r="E75" s="21">
        <f t="shared" si="1"/>
        <v>2.7362019274473681E-2</v>
      </c>
      <c r="F75" s="21">
        <f t="shared" si="2"/>
        <v>2.7568413492131578E-2</v>
      </c>
      <c r="G75" s="19">
        <f t="shared" si="3"/>
        <v>2.2099683560353616E-2</v>
      </c>
    </row>
    <row r="76" spans="1:7" ht="14.4" x14ac:dyDescent="0.3">
      <c r="A76" s="2">
        <f t="shared" si="4"/>
        <v>78</v>
      </c>
      <c r="B76" s="18">
        <f t="shared" ref="B76:D76" si="27">E30/B30</f>
        <v>3.0959752321981424E-2</v>
      </c>
      <c r="C76" s="18">
        <f t="shared" si="27"/>
        <v>3.3879781420765025E-2</v>
      </c>
      <c r="D76" s="18">
        <f t="shared" si="27"/>
        <v>3.6024844720496892E-2</v>
      </c>
      <c r="E76" s="21">
        <f t="shared" si="1"/>
        <v>3.3621459487747779E-2</v>
      </c>
      <c r="F76" s="21">
        <f t="shared" si="2"/>
        <v>3.3042021641423447E-2</v>
      </c>
      <c r="G76" s="19">
        <f t="shared" si="3"/>
        <v>2.6222620335096425E-2</v>
      </c>
    </row>
    <row r="77" spans="1:7" ht="14.4" x14ac:dyDescent="0.3">
      <c r="A77" s="2">
        <f t="shared" si="4"/>
        <v>79</v>
      </c>
      <c r="B77" s="18">
        <f t="shared" ref="B77:D77" si="28">E31/B31</f>
        <v>2.5906735751295335E-2</v>
      </c>
      <c r="C77" s="18">
        <f t="shared" si="28"/>
        <v>2.8571428571428571E-2</v>
      </c>
      <c r="D77" s="18">
        <f t="shared" si="28"/>
        <v>3.0158730158730159E-2</v>
      </c>
      <c r="E77" s="21">
        <f t="shared" si="1"/>
        <v>2.8212298160484688E-2</v>
      </c>
      <c r="F77" s="21">
        <f t="shared" si="2"/>
        <v>3.0497608712339284E-2</v>
      </c>
      <c r="G77" s="19">
        <f t="shared" si="3"/>
        <v>2.3961304512176762E-2</v>
      </c>
    </row>
    <row r="78" spans="1:7" ht="14.4" x14ac:dyDescent="0.3">
      <c r="A78" s="2">
        <f t="shared" si="4"/>
        <v>80</v>
      </c>
      <c r="B78" s="18">
        <f t="shared" ref="B78:D78" si="29">E32/B32</f>
        <v>4.9715909090909088E-2</v>
      </c>
      <c r="C78" s="18">
        <f t="shared" si="29"/>
        <v>4.9253731343283584E-2</v>
      </c>
      <c r="D78" s="18">
        <f t="shared" si="29"/>
        <v>5.6140350877192984E-2</v>
      </c>
      <c r="E78" s="21">
        <f t="shared" si="1"/>
        <v>5.1703330437128554E-2</v>
      </c>
      <c r="F78" s="21">
        <f t="shared" si="2"/>
        <v>4.8429331305989989E-2</v>
      </c>
      <c r="G78" s="19">
        <f t="shared" si="3"/>
        <v>3.7669368311216776E-2</v>
      </c>
    </row>
    <row r="79" spans="1:7" ht="14.4" x14ac:dyDescent="0.3">
      <c r="A79" s="2">
        <f t="shared" si="4"/>
        <v>81</v>
      </c>
      <c r="B79" s="18">
        <f t="shared" ref="B79:D79" si="30">E33/B33</f>
        <v>4.2592592592592592E-2</v>
      </c>
      <c r="C79" s="18">
        <f t="shared" si="30"/>
        <v>4.6601941747572817E-2</v>
      </c>
      <c r="D79" s="18">
        <f t="shared" si="30"/>
        <v>5.057471264367816E-2</v>
      </c>
      <c r="E79" s="21">
        <f t="shared" si="1"/>
        <v>4.6589748994614523E-2</v>
      </c>
      <c r="F79" s="21">
        <f t="shared" si="2"/>
        <v>4.6361824296230168E-2</v>
      </c>
      <c r="G79" s="19">
        <f t="shared" si="3"/>
        <v>3.5700605026334944E-2</v>
      </c>
    </row>
    <row r="80" spans="1:7" ht="14.4" x14ac:dyDescent="0.3">
      <c r="A80" s="2">
        <f t="shared" si="4"/>
        <v>82</v>
      </c>
      <c r="B80" s="18">
        <f t="shared" ref="B80:D80" si="31">E34/B34</f>
        <v>5.1526717557251911E-2</v>
      </c>
      <c r="C80" s="18">
        <f t="shared" si="31"/>
        <v>5.2525252525252523E-2</v>
      </c>
      <c r="D80" s="18">
        <f t="shared" si="31"/>
        <v>6.097560975609756E-2</v>
      </c>
      <c r="E80" s="21">
        <f t="shared" si="1"/>
        <v>5.5009193279533998E-2</v>
      </c>
      <c r="F80" s="21">
        <f t="shared" si="2"/>
        <v>5.3956435295673802E-2</v>
      </c>
      <c r="G80" s="19">
        <f t="shared" si="3"/>
        <v>4.1133295339797822E-2</v>
      </c>
    </row>
    <row r="81" spans="1:7" ht="14.4" x14ac:dyDescent="0.3">
      <c r="A81" s="2">
        <f t="shared" si="4"/>
        <v>83</v>
      </c>
      <c r="B81" s="18">
        <f t="shared" ref="B81:D81" si="32">E35/B35</f>
        <v>7.289293849658314E-2</v>
      </c>
      <c r="C81" s="18">
        <f t="shared" si="32"/>
        <v>7.5609756097560973E-2</v>
      </c>
      <c r="D81" s="18">
        <f t="shared" si="32"/>
        <v>8.9552238805970144E-2</v>
      </c>
      <c r="E81" s="21">
        <f t="shared" si="1"/>
        <v>7.9351644466704743E-2</v>
      </c>
      <c r="F81" s="21">
        <f t="shared" si="2"/>
        <v>7.2907151126693326E-2</v>
      </c>
      <c r="G81" s="19">
        <f t="shared" si="3"/>
        <v>5.5024433130385485E-2</v>
      </c>
    </row>
    <row r="82" spans="1:7" ht="14.4" x14ac:dyDescent="0.3">
      <c r="A82" s="2">
        <f t="shared" si="4"/>
        <v>84</v>
      </c>
      <c r="B82" s="18">
        <f t="shared" ref="B82:D82" si="33">E36/B36</f>
        <v>6.1170212765957445E-2</v>
      </c>
      <c r="C82" s="18">
        <f t="shared" si="33"/>
        <v>6.7605633802816895E-2</v>
      </c>
      <c r="D82" s="18">
        <f t="shared" si="33"/>
        <v>7.586206896551724E-2</v>
      </c>
      <c r="E82" s="21">
        <f t="shared" si="1"/>
        <v>6.8212638511430515E-2</v>
      </c>
      <c r="F82" s="21">
        <f t="shared" si="2"/>
        <v>6.7272846958001356E-2</v>
      </c>
      <c r="G82" s="19">
        <f t="shared" si="3"/>
        <v>5.0264393953258803E-2</v>
      </c>
    </row>
    <row r="83" spans="1:7" ht="14.4" x14ac:dyDescent="0.3">
      <c r="A83" s="2">
        <f t="shared" si="4"/>
        <v>85</v>
      </c>
      <c r="B83" s="18">
        <f t="shared" ref="B83:D83" si="34">E37/B37</f>
        <v>6.4189189189189186E-2</v>
      </c>
      <c r="C83" s="18">
        <f t="shared" si="34"/>
        <v>7.2727272727272724E-2</v>
      </c>
      <c r="D83" s="18">
        <f t="shared" si="34"/>
        <v>8.3720930232558138E-2</v>
      </c>
      <c r="E83" s="21">
        <f t="shared" si="1"/>
        <v>7.3545797383006678E-2</v>
      </c>
      <c r="F83" s="21">
        <f t="shared" si="2"/>
        <v>7.3463058168104681E-2</v>
      </c>
      <c r="G83" s="19">
        <f t="shared" si="3"/>
        <v>5.434065155719197E-2</v>
      </c>
    </row>
    <row r="84" spans="1:7" ht="14.4" x14ac:dyDescent="0.3">
      <c r="A84" s="2">
        <f t="shared" si="4"/>
        <v>86</v>
      </c>
      <c r="B84" s="18">
        <f t="shared" ref="B84:D84" si="35">E38/B38</f>
        <v>8.9552238805970144E-2</v>
      </c>
      <c r="C84" s="18">
        <f t="shared" si="35"/>
        <v>8.9473684210526316E-2</v>
      </c>
      <c r="D84" s="18">
        <f t="shared" si="35"/>
        <v>0.12142857142857143</v>
      </c>
      <c r="E84" s="21">
        <f t="shared" si="1"/>
        <v>0.10015149814835596</v>
      </c>
      <c r="F84" s="21">
        <f t="shared" si="2"/>
        <v>9.4883048703849171E-2</v>
      </c>
      <c r="G84" s="19">
        <f t="shared" si="3"/>
        <v>6.9483176288911042E-2</v>
      </c>
    </row>
    <row r="85" spans="1:7" ht="14.4" x14ac:dyDescent="0.3">
      <c r="A85" s="2">
        <f t="shared" si="4"/>
        <v>87</v>
      </c>
      <c r="B85" s="18">
        <f t="shared" ref="B85:D85" si="36">E39/B39</f>
        <v>9.0225563909774431E-2</v>
      </c>
      <c r="C85" s="18">
        <f t="shared" si="36"/>
        <v>0.10833333333333334</v>
      </c>
      <c r="D85" s="18">
        <f t="shared" si="36"/>
        <v>0.12631578947368421</v>
      </c>
      <c r="E85" s="21">
        <f t="shared" si="1"/>
        <v>0.10829156223893066</v>
      </c>
      <c r="F85" s="21">
        <f t="shared" si="2"/>
        <v>0.10373409356725147</v>
      </c>
      <c r="G85" s="19">
        <f t="shared" si="3"/>
        <v>7.520517800466936E-2</v>
      </c>
    </row>
    <row r="86" spans="1:7" ht="14.4" x14ac:dyDescent="0.3">
      <c r="A86" s="2">
        <f t="shared" si="4"/>
        <v>88</v>
      </c>
      <c r="B86" s="18">
        <f t="shared" ref="B86:D86" si="37">E40/B40</f>
        <v>0.13333333333333333</v>
      </c>
      <c r="C86" s="18">
        <f t="shared" si="37"/>
        <v>0.12941176470588237</v>
      </c>
      <c r="D86" s="18">
        <f t="shared" si="37"/>
        <v>0.16923076923076924</v>
      </c>
      <c r="E86" s="21">
        <f t="shared" si="1"/>
        <v>0.14399195575666165</v>
      </c>
      <c r="F86" s="21">
        <f t="shared" si="2"/>
        <v>0.13228536902966315</v>
      </c>
      <c r="G86" s="19">
        <f t="shared" si="3"/>
        <v>9.4945248368619437E-2</v>
      </c>
    </row>
    <row r="87" spans="1:7" ht="14.4" x14ac:dyDescent="0.3">
      <c r="A87" s="2">
        <f t="shared" si="4"/>
        <v>89</v>
      </c>
      <c r="B87" s="18">
        <f t="shared" ref="B87:D87" si="38">E41/B41</f>
        <v>0.11594202898550725</v>
      </c>
      <c r="C87" s="18">
        <f t="shared" si="38"/>
        <v>0.14516129032258066</v>
      </c>
      <c r="D87" s="18">
        <f t="shared" si="38"/>
        <v>0.16</v>
      </c>
      <c r="E87" s="21">
        <f t="shared" si="1"/>
        <v>0.14036777310269596</v>
      </c>
      <c r="F87" s="21">
        <f t="shared" si="2"/>
        <v>0.13369944117188717</v>
      </c>
      <c r="G87" s="19">
        <f t="shared" si="3"/>
        <v>9.5000569409186372E-2</v>
      </c>
    </row>
    <row r="88" spans="1:7" ht="14.4" x14ac:dyDescent="0.3">
      <c r="A88" s="2">
        <f t="shared" si="4"/>
        <v>90</v>
      </c>
      <c r="B88" s="18">
        <f t="shared" ref="B88:D88" si="39">E42/B42</f>
        <v>0.10810810810810811</v>
      </c>
      <c r="C88" s="18">
        <f t="shared" si="39"/>
        <v>0.1</v>
      </c>
      <c r="D88" s="18">
        <f t="shared" si="39"/>
        <v>0.1206896551724138</v>
      </c>
      <c r="E88" s="21">
        <f t="shared" si="1"/>
        <v>0.10959925442684064</v>
      </c>
      <c r="F88" s="21">
        <f t="shared" si="2"/>
        <v>0.11650547809878845</v>
      </c>
      <c r="G88" s="19">
        <f t="shared" si="3"/>
        <v>8.1955510023415501E-2</v>
      </c>
    </row>
    <row r="89" spans="1:7" ht="14.4" x14ac:dyDescent="0.3">
      <c r="A89" s="2">
        <f t="shared" si="4"/>
        <v>91</v>
      </c>
      <c r="B89" s="18">
        <f t="shared" ref="B89:D89" si="40">E43/B43</f>
        <v>0.16981132075471697</v>
      </c>
      <c r="C89" s="18">
        <f t="shared" si="40"/>
        <v>0.16666666666666666</v>
      </c>
      <c r="D89" s="18">
        <f t="shared" si="40"/>
        <v>0.23684210526315788</v>
      </c>
      <c r="E89" s="21">
        <f t="shared" si="1"/>
        <v>0.19110669756151386</v>
      </c>
      <c r="F89" s="21">
        <f t="shared" si="2"/>
        <v>0.17809368829305969</v>
      </c>
      <c r="G89" s="19">
        <f t="shared" si="3"/>
        <v>0.12402679857848732</v>
      </c>
    </row>
    <row r="90" spans="1:7" ht="14.4" x14ac:dyDescent="0.3">
      <c r="A90" s="2">
        <f t="shared" si="4"/>
        <v>92</v>
      </c>
      <c r="B90" s="18">
        <f t="shared" ref="B90:D90" si="41">E44/B44</f>
        <v>0.19047619047619047</v>
      </c>
      <c r="C90" s="18">
        <f t="shared" si="41"/>
        <v>0.17142857142857143</v>
      </c>
      <c r="D90" s="18">
        <f t="shared" si="41"/>
        <v>0.28000000000000003</v>
      </c>
      <c r="E90" s="21">
        <f t="shared" si="1"/>
        <v>0.213968253968254</v>
      </c>
      <c r="F90" s="21">
        <f t="shared" si="2"/>
        <v>0.19876477777777779</v>
      </c>
      <c r="G90" s="19">
        <f t="shared" si="3"/>
        <v>0.13703819434185924</v>
      </c>
    </row>
    <row r="91" spans="1:7" ht="14.4" x14ac:dyDescent="0.3">
      <c r="A91" s="2">
        <f t="shared" si="4"/>
        <v>93</v>
      </c>
      <c r="B91" s="18">
        <f t="shared" ref="B91:D91" si="42">E45/B45</f>
        <v>0.23529411764705882</v>
      </c>
      <c r="C91" s="18">
        <f t="shared" si="42"/>
        <v>0.2</v>
      </c>
      <c r="D91" s="18">
        <f t="shared" si="42"/>
        <v>0.1875</v>
      </c>
      <c r="E91" s="21">
        <f t="shared" si="1"/>
        <v>0.20759803921568629</v>
      </c>
      <c r="F91" s="21">
        <f t="shared" si="2"/>
        <v>0.19909962745098042</v>
      </c>
      <c r="G91" s="19">
        <f t="shared" si="3"/>
        <v>0.13589636558152285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E20BB-22D8-4088-8BA8-DCD9C792562F}">
  <sheetPr>
    <tabColor theme="5" tint="0.39997558519241921"/>
  </sheetPr>
  <dimension ref="A1:B49"/>
  <sheetViews>
    <sheetView zoomScale="115" zoomScaleNormal="115" workbookViewId="0"/>
  </sheetViews>
  <sheetFormatPr defaultColWidth="12.5546875" defaultRowHeight="15" customHeight="1" x14ac:dyDescent="0.3"/>
  <cols>
    <col min="1" max="1" width="34.44140625" style="2" customWidth="1"/>
    <col min="2" max="6" width="9" style="2" customWidth="1"/>
    <col min="7" max="26" width="8.5546875" style="2" customWidth="1"/>
    <col min="27" max="16384" width="12.5546875" style="2"/>
  </cols>
  <sheetData>
    <row r="1" spans="1:2" ht="15" customHeight="1" x14ac:dyDescent="0.3">
      <c r="A1" s="2" t="s">
        <v>286</v>
      </c>
    </row>
    <row r="3" spans="1:2" ht="15" customHeight="1" x14ac:dyDescent="0.3">
      <c r="A3" s="13" t="s">
        <v>269</v>
      </c>
    </row>
    <row r="4" spans="1:2" ht="14.4" x14ac:dyDescent="0.3">
      <c r="A4" s="2" t="s">
        <v>44</v>
      </c>
    </row>
    <row r="5" spans="1:2" ht="14.4" x14ac:dyDescent="0.3">
      <c r="A5" s="1"/>
    </row>
    <row r="6" spans="1:2" ht="14.4" x14ac:dyDescent="0.3">
      <c r="A6" s="2" t="s">
        <v>87</v>
      </c>
    </row>
    <row r="7" spans="1:2" ht="14.4" x14ac:dyDescent="0.3">
      <c r="A7" s="2" t="s">
        <v>45</v>
      </c>
    </row>
    <row r="8" spans="1:2" ht="14.4" x14ac:dyDescent="0.3">
      <c r="A8" s="2" t="s">
        <v>46</v>
      </c>
    </row>
    <row r="9" spans="1:2" ht="14.4" x14ac:dyDescent="0.3">
      <c r="A9" s="2" t="s">
        <v>47</v>
      </c>
    </row>
    <row r="10" spans="1:2" ht="14.4" x14ac:dyDescent="0.3">
      <c r="A10" s="2" t="s">
        <v>48</v>
      </c>
    </row>
    <row r="11" spans="1:2" ht="14.4" x14ac:dyDescent="0.3"/>
    <row r="12" spans="1:2" ht="14.4" x14ac:dyDescent="0.3">
      <c r="A12" s="2" t="s">
        <v>49</v>
      </c>
    </row>
    <row r="13" spans="1:2" ht="14.4" x14ac:dyDescent="0.3"/>
    <row r="14" spans="1:2" ht="14.4" x14ac:dyDescent="0.3">
      <c r="A14" s="13" t="s">
        <v>50</v>
      </c>
      <c r="B14" s="13"/>
    </row>
    <row r="15" spans="1:2" ht="14.4" x14ac:dyDescent="0.3">
      <c r="A15" s="2" t="s">
        <v>51</v>
      </c>
      <c r="B15" s="19">
        <v>0.05</v>
      </c>
    </row>
    <row r="16" spans="1:2" ht="14.4" x14ac:dyDescent="0.3">
      <c r="A16" s="2" t="s">
        <v>52</v>
      </c>
      <c r="B16" s="19">
        <v>0.17</v>
      </c>
    </row>
    <row r="17" spans="1:2" ht="14.4" x14ac:dyDescent="0.3">
      <c r="A17" s="2" t="s">
        <v>53</v>
      </c>
      <c r="B17" s="19">
        <v>0.17</v>
      </c>
    </row>
    <row r="18" spans="1:2" ht="14.4" x14ac:dyDescent="0.3">
      <c r="A18" s="2" t="s">
        <v>54</v>
      </c>
      <c r="B18" s="19">
        <v>0.4</v>
      </c>
    </row>
    <row r="19" spans="1:2" ht="14.4" x14ac:dyDescent="0.3">
      <c r="A19" s="2" t="s">
        <v>55</v>
      </c>
      <c r="B19" s="19">
        <f>1-SUM(B15:B18)</f>
        <v>0.20999999999999996</v>
      </c>
    </row>
    <row r="20" spans="1:2" ht="14.4" x14ac:dyDescent="0.3">
      <c r="B20" s="19"/>
    </row>
    <row r="21" spans="1:2" ht="14.4" x14ac:dyDescent="0.3">
      <c r="B21" s="19"/>
    </row>
    <row r="22" spans="1:2" ht="14.4" x14ac:dyDescent="0.3">
      <c r="A22" s="13" t="s">
        <v>56</v>
      </c>
      <c r="B22" s="19"/>
    </row>
    <row r="23" spans="1:2" ht="14.4" x14ac:dyDescent="0.3">
      <c r="A23" s="2" t="s">
        <v>57</v>
      </c>
      <c r="B23" s="19">
        <v>2E-3</v>
      </c>
    </row>
    <row r="24" spans="1:2" ht="14.4" x14ac:dyDescent="0.3">
      <c r="A24" s="2" t="s">
        <v>58</v>
      </c>
      <c r="B24" s="19">
        <v>-0.01</v>
      </c>
    </row>
    <row r="25" spans="1:2" ht="14.4" x14ac:dyDescent="0.3">
      <c r="A25" s="2" t="s">
        <v>59</v>
      </c>
      <c r="B25" s="19">
        <v>2E-3</v>
      </c>
    </row>
    <row r="26" spans="1:2" ht="14.4" x14ac:dyDescent="0.3">
      <c r="A26" s="2" t="s">
        <v>60</v>
      </c>
      <c r="B26" s="19">
        <v>8.0000000000000002E-3</v>
      </c>
    </row>
    <row r="27" spans="1:2" ht="14.4" x14ac:dyDescent="0.3">
      <c r="A27" s="2" t="s">
        <v>61</v>
      </c>
      <c r="B27" s="19">
        <v>0.02</v>
      </c>
    </row>
    <row r="28" spans="1:2" ht="14.4" x14ac:dyDescent="0.3">
      <c r="A28" s="2" t="s">
        <v>62</v>
      </c>
      <c r="B28" s="19">
        <v>8.0000000000000002E-3</v>
      </c>
    </row>
    <row r="29" spans="1:2" ht="15.75" customHeight="1" x14ac:dyDescent="0.3">
      <c r="A29" s="2" t="s">
        <v>63</v>
      </c>
      <c r="B29" s="19">
        <v>7.0000000000000007E-2</v>
      </c>
    </row>
    <row r="30" spans="1:2" ht="15.75" customHeight="1" x14ac:dyDescent="0.3">
      <c r="A30" s="2" t="s">
        <v>64</v>
      </c>
      <c r="B30" s="19">
        <v>0.01</v>
      </c>
    </row>
    <row r="31" spans="1:2" ht="15.75" customHeight="1" x14ac:dyDescent="0.3">
      <c r="A31" s="2" t="s">
        <v>65</v>
      </c>
      <c r="B31" s="19">
        <v>5.0000000000000001E-3</v>
      </c>
    </row>
    <row r="32" spans="1:2" ht="15.75" customHeight="1" x14ac:dyDescent="0.3">
      <c r="A32" s="2" t="s">
        <v>66</v>
      </c>
      <c r="B32" s="19">
        <v>0.01</v>
      </c>
    </row>
    <row r="35" spans="1:2" ht="15.75" customHeight="1" x14ac:dyDescent="0.3">
      <c r="A35" s="2" t="s">
        <v>67</v>
      </c>
    </row>
    <row r="36" spans="1:2" ht="14.4" x14ac:dyDescent="0.3">
      <c r="A36" s="2" t="s">
        <v>68</v>
      </c>
    </row>
    <row r="37" spans="1:2" ht="14.4" x14ac:dyDescent="0.3">
      <c r="A37" s="2" t="s">
        <v>69</v>
      </c>
    </row>
    <row r="38" spans="1:2" ht="14.4" x14ac:dyDescent="0.3">
      <c r="A38" s="2" t="s">
        <v>70</v>
      </c>
    </row>
    <row r="39" spans="1:2" ht="14.4" x14ac:dyDescent="0.3">
      <c r="A39" s="2" t="s">
        <v>71</v>
      </c>
    </row>
    <row r="40" spans="1:2" ht="15.75" customHeight="1" x14ac:dyDescent="0.3"/>
    <row r="41" spans="1:2" ht="15.75" customHeight="1" x14ac:dyDescent="0.3"/>
    <row r="42" spans="1:2" ht="15.75" customHeight="1" x14ac:dyDescent="0.3">
      <c r="A42" s="2" t="s">
        <v>72</v>
      </c>
    </row>
    <row r="43" spans="1:2" ht="15.75" customHeight="1" x14ac:dyDescent="0.3">
      <c r="A43" s="2" t="s">
        <v>73</v>
      </c>
      <c r="B43" s="19">
        <v>2.5000000000000001E-2</v>
      </c>
    </row>
    <row r="44" spans="1:2" ht="15.75" customHeight="1" x14ac:dyDescent="0.3">
      <c r="A44" s="2" t="s">
        <v>74</v>
      </c>
      <c r="B44" s="19">
        <v>2.5000000000000001E-3</v>
      </c>
    </row>
    <row r="45" spans="1:2" ht="15.75" customHeight="1" x14ac:dyDescent="0.3">
      <c r="A45" s="2" t="s">
        <v>75</v>
      </c>
      <c r="B45" s="19">
        <v>4.0000000000000001E-3</v>
      </c>
    </row>
    <row r="46" spans="1:2" ht="15.75" customHeight="1" x14ac:dyDescent="0.3">
      <c r="A46" s="2" t="s">
        <v>76</v>
      </c>
      <c r="B46" s="19">
        <v>2.5000000000000001E-3</v>
      </c>
    </row>
    <row r="47" spans="1:2" ht="15.75" customHeight="1" x14ac:dyDescent="0.3">
      <c r="A47" s="2" t="s">
        <v>77</v>
      </c>
      <c r="B47" s="19">
        <v>3.0000000000000001E-3</v>
      </c>
    </row>
    <row r="48" spans="1:2" ht="15.75" customHeight="1" x14ac:dyDescent="0.3"/>
    <row r="49" spans="1:1" ht="15.75" customHeight="1" x14ac:dyDescent="0.3">
      <c r="A49" s="1" t="s">
        <v>260</v>
      </c>
    </row>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B74"/>
  <sheetViews>
    <sheetView zoomScale="115" zoomScaleNormal="115" workbookViewId="0"/>
  </sheetViews>
  <sheetFormatPr defaultColWidth="12.5546875" defaultRowHeight="15" customHeight="1" x14ac:dyDescent="0.3"/>
  <cols>
    <col min="1" max="1" width="34.44140625" style="2" customWidth="1"/>
    <col min="2" max="6" width="9" style="2" customWidth="1"/>
    <col min="7" max="26" width="8.5546875" style="2" customWidth="1"/>
    <col min="27" max="16384" width="12.5546875" style="2"/>
  </cols>
  <sheetData>
    <row r="1" spans="1:2" ht="15" customHeight="1" x14ac:dyDescent="0.3">
      <c r="A1" s="2" t="s">
        <v>286</v>
      </c>
    </row>
    <row r="3" spans="1:2" ht="14.4" x14ac:dyDescent="0.3">
      <c r="A3" s="1"/>
    </row>
    <row r="4" spans="1:2" ht="14.4" x14ac:dyDescent="0.3">
      <c r="A4" s="1"/>
    </row>
    <row r="5" spans="1:2" ht="14.4" x14ac:dyDescent="0.3">
      <c r="A5" s="1"/>
    </row>
    <row r="6" spans="1:2" ht="14.4" x14ac:dyDescent="0.3"/>
    <row r="7" spans="1:2" ht="14.4" x14ac:dyDescent="0.3">
      <c r="A7" s="13" t="s">
        <v>50</v>
      </c>
      <c r="B7" s="13"/>
    </row>
    <row r="8" spans="1:2" ht="14.4" x14ac:dyDescent="0.3">
      <c r="A8" s="2" t="s">
        <v>51</v>
      </c>
      <c r="B8" s="19">
        <v>0.05</v>
      </c>
    </row>
    <row r="9" spans="1:2" ht="14.4" x14ac:dyDescent="0.3">
      <c r="A9" s="2" t="s">
        <v>52</v>
      </c>
      <c r="B9" s="19">
        <v>0.17</v>
      </c>
    </row>
    <row r="10" spans="1:2" ht="14.4" x14ac:dyDescent="0.3">
      <c r="A10" s="2" t="s">
        <v>53</v>
      </c>
      <c r="B10" s="19">
        <v>0.17</v>
      </c>
    </row>
    <row r="11" spans="1:2" ht="14.4" x14ac:dyDescent="0.3">
      <c r="A11" s="2" t="s">
        <v>54</v>
      </c>
      <c r="B11" s="19">
        <v>0.4</v>
      </c>
    </row>
    <row r="12" spans="1:2" ht="14.4" x14ac:dyDescent="0.3">
      <c r="A12" s="2" t="s">
        <v>55</v>
      </c>
      <c r="B12" s="19">
        <f>1-SUM(B8:B11)</f>
        <v>0.20999999999999996</v>
      </c>
    </row>
    <row r="13" spans="1:2" ht="14.4" x14ac:dyDescent="0.3">
      <c r="B13" s="19"/>
    </row>
    <row r="14" spans="1:2" ht="14.4" x14ac:dyDescent="0.3">
      <c r="B14" s="19"/>
    </row>
    <row r="15" spans="1:2" ht="14.4" x14ac:dyDescent="0.3">
      <c r="A15" s="13" t="s">
        <v>56</v>
      </c>
      <c r="B15" s="19"/>
    </row>
    <row r="16" spans="1:2" ht="14.4" x14ac:dyDescent="0.3">
      <c r="A16" s="2" t="s">
        <v>57</v>
      </c>
      <c r="B16" s="19">
        <v>2E-3</v>
      </c>
    </row>
    <row r="17" spans="1:2" ht="14.4" x14ac:dyDescent="0.3">
      <c r="A17" s="2" t="s">
        <v>58</v>
      </c>
      <c r="B17" s="19">
        <v>-0.01</v>
      </c>
    </row>
    <row r="18" spans="1:2" ht="14.4" x14ac:dyDescent="0.3">
      <c r="A18" s="2" t="s">
        <v>59</v>
      </c>
      <c r="B18" s="19">
        <v>2E-3</v>
      </c>
    </row>
    <row r="19" spans="1:2" ht="14.4" x14ac:dyDescent="0.3">
      <c r="A19" s="2" t="s">
        <v>60</v>
      </c>
      <c r="B19" s="19">
        <v>8.0000000000000002E-3</v>
      </c>
    </row>
    <row r="20" spans="1:2" ht="14.4" x14ac:dyDescent="0.3">
      <c r="A20" s="2" t="s">
        <v>61</v>
      </c>
      <c r="B20" s="19">
        <v>0.02</v>
      </c>
    </row>
    <row r="21" spans="1:2" ht="14.4" x14ac:dyDescent="0.3">
      <c r="A21" s="2" t="s">
        <v>62</v>
      </c>
      <c r="B21" s="19">
        <v>8.0000000000000002E-3</v>
      </c>
    </row>
    <row r="22" spans="1:2" ht="15.75" customHeight="1" x14ac:dyDescent="0.3">
      <c r="A22" s="2" t="s">
        <v>63</v>
      </c>
      <c r="B22" s="19">
        <v>7.0000000000000007E-2</v>
      </c>
    </row>
    <row r="23" spans="1:2" ht="15.75" customHeight="1" x14ac:dyDescent="0.3">
      <c r="A23" s="2" t="s">
        <v>64</v>
      </c>
      <c r="B23" s="19">
        <v>0.01</v>
      </c>
    </row>
    <row r="24" spans="1:2" ht="15.75" customHeight="1" x14ac:dyDescent="0.3">
      <c r="A24" s="2" t="s">
        <v>65</v>
      </c>
      <c r="B24" s="19">
        <v>5.0000000000000001E-3</v>
      </c>
    </row>
    <row r="25" spans="1:2" ht="15.75" customHeight="1" x14ac:dyDescent="0.3">
      <c r="A25" s="2" t="s">
        <v>66</v>
      </c>
      <c r="B25" s="19">
        <v>0.01</v>
      </c>
    </row>
    <row r="26" spans="1:2" ht="15.75" customHeight="1" x14ac:dyDescent="0.3"/>
    <row r="27" spans="1:2" ht="15.75" customHeight="1" x14ac:dyDescent="0.3"/>
    <row r="28" spans="1:2" ht="15.75" customHeight="1" x14ac:dyDescent="0.3">
      <c r="A28" s="2" t="s">
        <v>72</v>
      </c>
    </row>
    <row r="29" spans="1:2" ht="15.75" customHeight="1" x14ac:dyDescent="0.3">
      <c r="A29" s="2" t="s">
        <v>73</v>
      </c>
      <c r="B29" s="19">
        <v>2.5000000000000001E-2</v>
      </c>
    </row>
    <row r="30" spans="1:2" ht="15.75" customHeight="1" x14ac:dyDescent="0.3">
      <c r="A30" s="2" t="s">
        <v>74</v>
      </c>
      <c r="B30" s="19">
        <v>2.5000000000000001E-3</v>
      </c>
    </row>
    <row r="31" spans="1:2" ht="15.75" customHeight="1" x14ac:dyDescent="0.3">
      <c r="A31" s="2" t="s">
        <v>75</v>
      </c>
      <c r="B31" s="19">
        <v>4.0000000000000001E-3</v>
      </c>
    </row>
    <row r="32" spans="1:2" ht="15.75" customHeight="1" x14ac:dyDescent="0.3">
      <c r="A32" s="2" t="s">
        <v>76</v>
      </c>
      <c r="B32" s="19">
        <v>2.5000000000000001E-3</v>
      </c>
    </row>
    <row r="33" spans="1:2" ht="15.75" customHeight="1" x14ac:dyDescent="0.3">
      <c r="A33" s="2" t="s">
        <v>77</v>
      </c>
      <c r="B33" s="19">
        <v>3.0000000000000001E-3</v>
      </c>
    </row>
    <row r="37" spans="1:2" ht="15.75" customHeight="1" x14ac:dyDescent="0.3">
      <c r="A37" s="1" t="s">
        <v>261</v>
      </c>
    </row>
    <row r="38" spans="1:2" ht="15.75" customHeight="1" x14ac:dyDescent="0.3"/>
    <row r="39" spans="1:2" ht="15.75" customHeight="1" x14ac:dyDescent="0.3">
      <c r="A39" s="2" t="s">
        <v>78</v>
      </c>
    </row>
    <row r="40" spans="1:2" ht="15.75" customHeight="1" x14ac:dyDescent="0.3">
      <c r="A40" s="2" t="s">
        <v>64</v>
      </c>
      <c r="B40" s="19">
        <f>B23</f>
        <v>0.01</v>
      </c>
    </row>
    <row r="41" spans="1:2" ht="15.75" customHeight="1" x14ac:dyDescent="0.3">
      <c r="A41" s="2" t="s">
        <v>66</v>
      </c>
      <c r="B41" s="22">
        <f>B25</f>
        <v>0.01</v>
      </c>
    </row>
    <row r="42" spans="1:2" ht="15.75" customHeight="1" x14ac:dyDescent="0.3">
      <c r="B42" s="19">
        <f>SUM(B40:B41)</f>
        <v>0.02</v>
      </c>
    </row>
    <row r="43" spans="1:2" ht="15.75" customHeight="1" x14ac:dyDescent="0.3"/>
    <row r="44" spans="1:2" ht="15.75" customHeight="1" x14ac:dyDescent="0.3"/>
    <row r="45" spans="1:2" ht="15.75" customHeight="1" x14ac:dyDescent="0.3">
      <c r="A45" s="2" t="s">
        <v>79</v>
      </c>
    </row>
    <row r="46" spans="1:2" ht="15.75" customHeight="1" x14ac:dyDescent="0.3">
      <c r="A46" s="2" t="s">
        <v>80</v>
      </c>
      <c r="B46" s="19">
        <f t="shared" ref="B46:B49" si="0">B16</f>
        <v>2E-3</v>
      </c>
    </row>
    <row r="47" spans="1:2" ht="15.75" customHeight="1" x14ac:dyDescent="0.3">
      <c r="A47" s="2" t="s">
        <v>58</v>
      </c>
      <c r="B47" s="19">
        <f t="shared" si="0"/>
        <v>-0.01</v>
      </c>
    </row>
    <row r="48" spans="1:2" ht="15.75" customHeight="1" x14ac:dyDescent="0.3">
      <c r="A48" s="2" t="s">
        <v>59</v>
      </c>
      <c r="B48" s="19">
        <f t="shared" si="0"/>
        <v>2E-3</v>
      </c>
    </row>
    <row r="49" spans="1:2" ht="15.75" customHeight="1" x14ac:dyDescent="0.3">
      <c r="A49" s="2" t="s">
        <v>60</v>
      </c>
      <c r="B49" s="19">
        <f t="shared" si="0"/>
        <v>8.0000000000000002E-3</v>
      </c>
    </row>
    <row r="50" spans="1:2" ht="15.75" customHeight="1" x14ac:dyDescent="0.3">
      <c r="A50" s="2" t="s">
        <v>64</v>
      </c>
      <c r="B50" s="19">
        <f t="shared" ref="B50:B51" si="1">B23</f>
        <v>0.01</v>
      </c>
    </row>
    <row r="51" spans="1:2" ht="15.75" customHeight="1" x14ac:dyDescent="0.3">
      <c r="A51" s="2" t="s">
        <v>65</v>
      </c>
      <c r="B51" s="22">
        <f t="shared" si="1"/>
        <v>5.0000000000000001E-3</v>
      </c>
    </row>
    <row r="52" spans="1:2" ht="15.75" customHeight="1" x14ac:dyDescent="0.3">
      <c r="B52" s="19">
        <f>SUM(B46:B51)</f>
        <v>1.7000000000000001E-2</v>
      </c>
    </row>
    <row r="53" spans="1:2" ht="15.75" customHeight="1" x14ac:dyDescent="0.3"/>
    <row r="54" spans="1:2" ht="15.75" customHeight="1" x14ac:dyDescent="0.3">
      <c r="A54" s="2" t="s">
        <v>81</v>
      </c>
    </row>
    <row r="55" spans="1:2" ht="15.75" customHeight="1" x14ac:dyDescent="0.3">
      <c r="A55" s="2" t="s">
        <v>65</v>
      </c>
      <c r="B55" s="19">
        <f>B24</f>
        <v>5.0000000000000001E-3</v>
      </c>
    </row>
    <row r="56" spans="1:2" ht="15.75" customHeight="1" x14ac:dyDescent="0.3"/>
    <row r="57" spans="1:2" ht="15.75" customHeight="1" x14ac:dyDescent="0.3"/>
    <row r="58" spans="1:2" ht="15.75" customHeight="1" x14ac:dyDescent="0.3">
      <c r="A58" s="2" t="s">
        <v>54</v>
      </c>
    </row>
    <row r="59" spans="1:2" ht="15.75" customHeight="1" x14ac:dyDescent="0.3">
      <c r="A59" s="2" t="s">
        <v>61</v>
      </c>
      <c r="B59" s="19">
        <f>B20</f>
        <v>0.02</v>
      </c>
    </row>
    <row r="60" spans="1:2" ht="15.75" customHeight="1" x14ac:dyDescent="0.3">
      <c r="A60" s="2" t="s">
        <v>60</v>
      </c>
      <c r="B60" s="19">
        <f>B19</f>
        <v>8.0000000000000002E-3</v>
      </c>
    </row>
    <row r="61" spans="1:2" ht="15.75" customHeight="1" x14ac:dyDescent="0.3">
      <c r="A61" s="2" t="s">
        <v>59</v>
      </c>
      <c r="B61" s="22">
        <f>B48</f>
        <v>2E-3</v>
      </c>
    </row>
    <row r="62" spans="1:2" ht="15.75" customHeight="1" x14ac:dyDescent="0.3">
      <c r="B62" s="19">
        <f>SUM(B59:B61)</f>
        <v>0.03</v>
      </c>
    </row>
    <row r="63" spans="1:2" ht="15.75" customHeight="1" x14ac:dyDescent="0.3"/>
    <row r="64" spans="1:2" ht="15.75" customHeight="1" x14ac:dyDescent="0.3">
      <c r="A64" s="2" t="s">
        <v>82</v>
      </c>
    </row>
    <row r="65" spans="1:2" ht="15.75" customHeight="1" x14ac:dyDescent="0.3">
      <c r="A65" s="2" t="s">
        <v>63</v>
      </c>
      <c r="B65" s="19">
        <f>B22</f>
        <v>7.0000000000000007E-2</v>
      </c>
    </row>
    <row r="66" spans="1:2" ht="15.75" customHeight="1" x14ac:dyDescent="0.3">
      <c r="A66" s="2" t="s">
        <v>62</v>
      </c>
      <c r="B66" s="22">
        <f>B21</f>
        <v>8.0000000000000002E-3</v>
      </c>
    </row>
    <row r="67" spans="1:2" ht="15.75" customHeight="1" x14ac:dyDescent="0.3">
      <c r="B67" s="19">
        <f>SUM(B65:B66)</f>
        <v>7.8000000000000014E-2</v>
      </c>
    </row>
    <row r="68" spans="1:2" ht="15.75" customHeight="1" x14ac:dyDescent="0.3"/>
    <row r="69" spans="1:2" ht="15.75" customHeight="1" x14ac:dyDescent="0.3"/>
    <row r="70" spans="1:2" ht="15.75" customHeight="1" x14ac:dyDescent="0.3"/>
    <row r="71" spans="1:2" ht="15.75" customHeight="1" x14ac:dyDescent="0.3">
      <c r="A71" s="2" t="s">
        <v>83</v>
      </c>
      <c r="B71" s="23">
        <f>B8*B42+B9*B52+B10*B55+B11*B62+B12*B67</f>
        <v>3.3119999999999997E-2</v>
      </c>
    </row>
    <row r="72" spans="1:2" ht="15.75" customHeight="1" x14ac:dyDescent="0.3">
      <c r="A72" s="2" t="s">
        <v>84</v>
      </c>
      <c r="B72" s="23">
        <f>B71+B29</f>
        <v>5.8119999999999998E-2</v>
      </c>
    </row>
    <row r="73" spans="1:2" ht="15.75" customHeight="1" x14ac:dyDescent="0.3">
      <c r="A73" s="2" t="s">
        <v>85</v>
      </c>
      <c r="B73" s="23">
        <f>B72+B30+B31-B32-B33</f>
        <v>5.9119999999999992E-2</v>
      </c>
    </row>
    <row r="74" spans="1:2" ht="15.75" customHeight="1" x14ac:dyDescent="0.3">
      <c r="A74" s="2" t="s">
        <v>86</v>
      </c>
      <c r="B74" s="23">
        <f>ROUND(B73,3)</f>
        <v>5.8999999999999997E-2</v>
      </c>
    </row>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0036-E005-4AB7-99CB-59F595A8ADEB}">
  <sheetPr>
    <tabColor theme="5" tint="0.39997558519241921"/>
    <outlinePr summaryBelow="0" summaryRight="0"/>
  </sheetPr>
  <dimension ref="A1:C28"/>
  <sheetViews>
    <sheetView zoomScale="115" zoomScaleNormal="115" workbookViewId="0"/>
  </sheetViews>
  <sheetFormatPr defaultColWidth="12.5546875" defaultRowHeight="15" customHeight="1" x14ac:dyDescent="0.3"/>
  <cols>
    <col min="1" max="1" width="41.109375" style="2" customWidth="1"/>
    <col min="2" max="2" width="21.88671875" style="2" customWidth="1"/>
    <col min="3" max="3" width="18" style="2" customWidth="1"/>
    <col min="4" max="16384" width="12.5546875" style="2"/>
  </cols>
  <sheetData>
    <row r="1" spans="1:1" ht="15" customHeight="1" x14ac:dyDescent="0.3">
      <c r="A1" s="2" t="s">
        <v>286</v>
      </c>
    </row>
    <row r="3" spans="1:1" ht="15" customHeight="1" x14ac:dyDescent="0.3">
      <c r="A3" s="13" t="s">
        <v>269</v>
      </c>
    </row>
    <row r="4" spans="1:1" ht="14.4" x14ac:dyDescent="0.3">
      <c r="A4" s="2" t="s">
        <v>44</v>
      </c>
    </row>
    <row r="5" spans="1:1" ht="14.4" x14ac:dyDescent="0.3"/>
    <row r="6" spans="1:1" ht="14.4" x14ac:dyDescent="0.3">
      <c r="A6" s="2" t="s">
        <v>87</v>
      </c>
    </row>
    <row r="7" spans="1:1" ht="14.4" x14ac:dyDescent="0.3">
      <c r="A7" s="2" t="s">
        <v>88</v>
      </c>
    </row>
    <row r="8" spans="1:1" ht="14.4" x14ac:dyDescent="0.3">
      <c r="A8" s="2" t="s">
        <v>89</v>
      </c>
    </row>
    <row r="9" spans="1:1" ht="14.4" x14ac:dyDescent="0.3">
      <c r="A9" s="2" t="s">
        <v>90</v>
      </c>
    </row>
    <row r="10" spans="1:1" ht="14.4" x14ac:dyDescent="0.3">
      <c r="A10" s="2" t="s">
        <v>91</v>
      </c>
    </row>
    <row r="11" spans="1:1" ht="14.4" x14ac:dyDescent="0.3"/>
    <row r="12" spans="1:1" ht="14.4" x14ac:dyDescent="0.3">
      <c r="A12" s="2" t="s">
        <v>92</v>
      </c>
    </row>
    <row r="13" spans="1:1" ht="14.4" x14ac:dyDescent="0.3">
      <c r="A13" s="2" t="s">
        <v>93</v>
      </c>
    </row>
    <row r="14" spans="1:1" ht="14.4" x14ac:dyDescent="0.3">
      <c r="A14" s="2" t="s">
        <v>94</v>
      </c>
    </row>
    <row r="15" spans="1:1" ht="14.4" x14ac:dyDescent="0.3">
      <c r="A15" s="2" t="s">
        <v>95</v>
      </c>
    </row>
    <row r="16" spans="1:1" ht="14.4" x14ac:dyDescent="0.3">
      <c r="A16" s="2" t="s">
        <v>96</v>
      </c>
    </row>
    <row r="17" spans="1:3" ht="14.4" x14ac:dyDescent="0.3">
      <c r="A17" s="2" t="s">
        <v>97</v>
      </c>
    </row>
    <row r="18" spans="1:3" ht="14.4" x14ac:dyDescent="0.3">
      <c r="A18" s="2" t="s">
        <v>98</v>
      </c>
    </row>
    <row r="21" spans="1:3" ht="14.4" x14ac:dyDescent="0.3">
      <c r="A21" s="1" t="s">
        <v>99</v>
      </c>
      <c r="B21" s="24" t="s">
        <v>100</v>
      </c>
      <c r="C21" s="24" t="s">
        <v>101</v>
      </c>
    </row>
    <row r="22" spans="1:3" ht="14.4" x14ac:dyDescent="0.3">
      <c r="A22" s="2" t="s">
        <v>102</v>
      </c>
      <c r="B22" s="25">
        <v>0.25</v>
      </c>
      <c r="C22" s="18">
        <v>-8.0000000000000002E-3</v>
      </c>
    </row>
    <row r="23" spans="1:3" ht="14.4" x14ac:dyDescent="0.3">
      <c r="A23" s="2" t="s">
        <v>103</v>
      </c>
      <c r="B23" s="25">
        <v>0.35</v>
      </c>
      <c r="C23" s="18">
        <v>0.05</v>
      </c>
    </row>
    <row r="24" spans="1:3" ht="14.4" x14ac:dyDescent="0.3">
      <c r="A24" s="2" t="s">
        <v>104</v>
      </c>
      <c r="B24" s="25">
        <v>0.25</v>
      </c>
      <c r="C24" s="18">
        <v>0.08</v>
      </c>
    </row>
    <row r="25" spans="1:3" ht="14.4" x14ac:dyDescent="0.3">
      <c r="A25" s="2" t="s">
        <v>105</v>
      </c>
      <c r="B25" s="25">
        <v>0.1</v>
      </c>
      <c r="C25" s="18">
        <v>0.1</v>
      </c>
    </row>
    <row r="26" spans="1:3" ht="14.4" x14ac:dyDescent="0.3">
      <c r="A26" s="2" t="s">
        <v>106</v>
      </c>
      <c r="B26" s="25">
        <v>0.05</v>
      </c>
      <c r="C26" s="18">
        <v>-2E-3</v>
      </c>
    </row>
    <row r="27" spans="1:3" ht="15" customHeight="1" x14ac:dyDescent="0.35">
      <c r="A27" s="14"/>
    </row>
    <row r="28" spans="1:3" ht="14.4" x14ac:dyDescent="0.3">
      <c r="A28" s="1"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outlinePr summaryBelow="0" summaryRight="0"/>
  </sheetPr>
  <dimension ref="A1:C34"/>
  <sheetViews>
    <sheetView zoomScale="115" zoomScaleNormal="115" workbookViewId="0"/>
  </sheetViews>
  <sheetFormatPr defaultColWidth="12.5546875" defaultRowHeight="15" customHeight="1" x14ac:dyDescent="0.3"/>
  <cols>
    <col min="1" max="1" width="41.109375" style="2" customWidth="1"/>
    <col min="2" max="2" width="21.88671875" style="2" customWidth="1"/>
    <col min="3" max="3" width="18" style="2" customWidth="1"/>
    <col min="4" max="16384" width="12.5546875" style="2"/>
  </cols>
  <sheetData>
    <row r="1" spans="1:3" ht="15" customHeight="1" x14ac:dyDescent="0.3">
      <c r="A1" s="2" t="s">
        <v>286</v>
      </c>
    </row>
    <row r="3" spans="1:3" ht="15" customHeight="1" x14ac:dyDescent="0.3">
      <c r="A3" s="13"/>
    </row>
    <row r="4" spans="1:3" ht="14.4" x14ac:dyDescent="0.3"/>
    <row r="5" spans="1:3" ht="14.4" x14ac:dyDescent="0.3"/>
    <row r="6" spans="1:3" ht="14.4" x14ac:dyDescent="0.3">
      <c r="A6" s="1"/>
    </row>
    <row r="7" spans="1:3" ht="14.4" x14ac:dyDescent="0.3">
      <c r="A7" s="1" t="s">
        <v>99</v>
      </c>
      <c r="B7" s="24" t="s">
        <v>100</v>
      </c>
      <c r="C7" s="24" t="s">
        <v>101</v>
      </c>
    </row>
    <row r="8" spans="1:3" ht="14.4" x14ac:dyDescent="0.3">
      <c r="A8" s="2" t="s">
        <v>102</v>
      </c>
      <c r="B8" s="25">
        <v>0.25</v>
      </c>
      <c r="C8" s="18">
        <v>-8.0000000000000002E-3</v>
      </c>
    </row>
    <row r="9" spans="1:3" ht="14.4" x14ac:dyDescent="0.3">
      <c r="A9" s="2" t="s">
        <v>103</v>
      </c>
      <c r="B9" s="25">
        <v>0.35</v>
      </c>
      <c r="C9" s="18">
        <v>0.05</v>
      </c>
    </row>
    <row r="10" spans="1:3" ht="14.4" x14ac:dyDescent="0.3">
      <c r="A10" s="2" t="s">
        <v>104</v>
      </c>
      <c r="B10" s="25">
        <v>0.25</v>
      </c>
      <c r="C10" s="18">
        <v>0.08</v>
      </c>
    </row>
    <row r="11" spans="1:3" ht="14.4" x14ac:dyDescent="0.3">
      <c r="A11" s="2" t="s">
        <v>105</v>
      </c>
      <c r="B11" s="25">
        <v>0.1</v>
      </c>
      <c r="C11" s="18">
        <v>0.1</v>
      </c>
    </row>
    <row r="12" spans="1:3" ht="14.4" x14ac:dyDescent="0.3">
      <c r="A12" s="2" t="s">
        <v>106</v>
      </c>
      <c r="B12" s="25">
        <v>0.05</v>
      </c>
      <c r="C12" s="18">
        <v>-2E-3</v>
      </c>
    </row>
    <row r="13" spans="1:3" ht="15" customHeight="1" x14ac:dyDescent="0.35">
      <c r="A13" s="14"/>
    </row>
    <row r="14" spans="1:3" ht="14.4" x14ac:dyDescent="0.3">
      <c r="A14" s="1" t="s">
        <v>263</v>
      </c>
    </row>
    <row r="15" spans="1:3" ht="15" customHeight="1" x14ac:dyDescent="0.35">
      <c r="A15" s="14"/>
    </row>
    <row r="16" spans="1:3" ht="15" customHeight="1" x14ac:dyDescent="0.35">
      <c r="A16" s="14"/>
    </row>
    <row r="17" spans="1:2" ht="15" customHeight="1" x14ac:dyDescent="0.35">
      <c r="A17" s="14"/>
    </row>
    <row r="18" spans="1:2" ht="14.4" x14ac:dyDescent="0.3">
      <c r="A18" s="1" t="s">
        <v>99</v>
      </c>
      <c r="B18" s="24" t="s">
        <v>107</v>
      </c>
    </row>
    <row r="19" spans="1:2" ht="14.4" x14ac:dyDescent="0.3">
      <c r="A19" s="2" t="s">
        <v>102</v>
      </c>
      <c r="B19" s="18">
        <f>B8*C8</f>
        <v>-2E-3</v>
      </c>
    </row>
    <row r="20" spans="1:2" ht="14.4" x14ac:dyDescent="0.3">
      <c r="A20" s="2" t="s">
        <v>103</v>
      </c>
      <c r="B20" s="18">
        <f t="shared" ref="B20:B23" si="0">C9*B9</f>
        <v>1.7499999999999998E-2</v>
      </c>
    </row>
    <row r="21" spans="1:2" ht="14.4" x14ac:dyDescent="0.3">
      <c r="A21" s="2" t="s">
        <v>104</v>
      </c>
      <c r="B21" s="18">
        <f t="shared" si="0"/>
        <v>0.02</v>
      </c>
    </row>
    <row r="22" spans="1:2" ht="14.4" x14ac:dyDescent="0.3">
      <c r="A22" s="2" t="s">
        <v>105</v>
      </c>
      <c r="B22" s="18">
        <f t="shared" si="0"/>
        <v>1.0000000000000002E-2</v>
      </c>
    </row>
    <row r="23" spans="1:2" ht="14.4" x14ac:dyDescent="0.3">
      <c r="A23" s="2" t="s">
        <v>106</v>
      </c>
      <c r="B23" s="18">
        <f t="shared" si="0"/>
        <v>-1E-4</v>
      </c>
    </row>
    <row r="24" spans="1:2" ht="14.4" x14ac:dyDescent="0.3">
      <c r="A24" s="2" t="s">
        <v>108</v>
      </c>
      <c r="B24" s="18">
        <f>SUM(B19:B23)</f>
        <v>4.5399999999999996E-2</v>
      </c>
    </row>
    <row r="25" spans="1:2" ht="14.4" x14ac:dyDescent="0.3">
      <c r="A25" s="13" t="s">
        <v>109</v>
      </c>
      <c r="B25" s="26">
        <v>0.02</v>
      </c>
    </row>
    <row r="26" spans="1:2" ht="14.4" x14ac:dyDescent="0.3">
      <c r="A26" s="2" t="s">
        <v>110</v>
      </c>
      <c r="B26" s="18">
        <f>B25+B24</f>
        <v>6.54E-2</v>
      </c>
    </row>
    <row r="27" spans="1:2" ht="18" x14ac:dyDescent="0.35">
      <c r="A27" s="14"/>
      <c r="B27" s="15"/>
    </row>
    <row r="28" spans="1:2" ht="14.4" x14ac:dyDescent="0.3">
      <c r="A28" s="2" t="s">
        <v>111</v>
      </c>
      <c r="B28" s="25">
        <f>B9+B10+B11</f>
        <v>0.7</v>
      </c>
    </row>
    <row r="29" spans="1:2" ht="14.4" x14ac:dyDescent="0.3">
      <c r="A29" s="2" t="s">
        <v>112</v>
      </c>
      <c r="B29" s="18">
        <f>0.5/100*B28</f>
        <v>3.4999999999999996E-3</v>
      </c>
    </row>
    <row r="30" spans="1:2" ht="14.4" x14ac:dyDescent="0.3">
      <c r="B30" s="18"/>
    </row>
    <row r="31" spans="1:2" ht="14.4" x14ac:dyDescent="0.3">
      <c r="A31" s="2" t="s">
        <v>113</v>
      </c>
      <c r="B31" s="18">
        <f>0.0015</f>
        <v>1.5E-3</v>
      </c>
    </row>
    <row r="32" spans="1:2" ht="14.4" x14ac:dyDescent="0.3">
      <c r="A32" s="13" t="s">
        <v>114</v>
      </c>
      <c r="B32" s="26">
        <f>0.2/100</f>
        <v>2E-3</v>
      </c>
    </row>
    <row r="33" spans="1:2" ht="14.4" x14ac:dyDescent="0.3">
      <c r="A33" s="2" t="s">
        <v>115</v>
      </c>
      <c r="B33" s="18">
        <f>B26+B29+B31-B32</f>
        <v>6.8400000000000002E-2</v>
      </c>
    </row>
    <row r="34" spans="1:2" ht="14.4" x14ac:dyDescent="0.3">
      <c r="A34" s="1" t="s">
        <v>116</v>
      </c>
      <c r="B34" s="27">
        <f>ROUND(B33,3)</f>
        <v>6.8000000000000005E-2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C15D28-91EB-4CA9-80C5-7CB8961BD160}"/>
</file>

<file path=customXml/itemProps2.xml><?xml version="1.0" encoding="utf-8"?>
<ds:datastoreItem xmlns:ds="http://schemas.openxmlformats.org/officeDocument/2006/customXml" ds:itemID="{D4AE6BA0-72C8-4927-97BD-77F3116C9479}"/>
</file>

<file path=customXml/itemProps3.xml><?xml version="1.0" encoding="utf-8"?>
<ds:datastoreItem xmlns:ds="http://schemas.openxmlformats.org/officeDocument/2006/customXml" ds:itemID="{FFB51F6F-4AD4-4B61-88C0-F138ADA78D7D}"/>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vt:lpstr>
      <vt:lpstr>Q1 RET301-100-25 1a</vt:lpstr>
      <vt:lpstr>A1</vt:lpstr>
      <vt:lpstr>Q2 Task Force Mort 1a 1b 1c</vt:lpstr>
      <vt:lpstr>A2</vt:lpstr>
      <vt:lpstr>Q3 Discount Rates 1a 1b</vt:lpstr>
      <vt:lpstr>A3</vt:lpstr>
      <vt:lpstr>Q4 Discount Rates 1a 1b</vt:lpstr>
      <vt:lpstr>A4</vt:lpstr>
      <vt:lpstr>Q5 Incremental Cost 2a 2c</vt:lpstr>
      <vt:lpstr>A5</vt:lpstr>
      <vt:lpstr>Q6 Plaus Adv Scen 2a-2d</vt:lpstr>
      <vt:lpstr>A6</vt:lpstr>
      <vt:lpstr>Q7 Plaus Adv Scen 2a-2d</vt:lpstr>
      <vt:lpstr>A7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Rowland</dc:creator>
  <cp:lastModifiedBy>Douglas Norris</cp:lastModifiedBy>
  <dcterms:created xsi:type="dcterms:W3CDTF">2024-10-26T15:48:21Z</dcterms:created>
  <dcterms:modified xsi:type="dcterms:W3CDTF">2025-06-27T03:20:39Z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