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richData/richValueRel.xml" ContentType="application/vnd.ms-excel.richvaluerel+xml"/>
  <Override PartName="/docMetadata/LabelInfo.xml" ContentType="application/vnd.ms-office.classificationlabels+xml"/>
  <Override PartName="/xl/richData/rdRichValueTypes.xml" ContentType="application/vnd.ms-excel.rdrichvaluetyp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959" documentId="8_{D68AB50C-7F62-4BFF-8E6A-3FF3DD0FB501}" xr6:coauthVersionLast="47" xr6:coauthVersionMax="47" xr10:uidLastSave="{43DD0066-EE32-4197-B6D4-D50DE197A483}"/>
  <bookViews>
    <workbookView xWindow="28680" yWindow="-120" windowWidth="38640" windowHeight="21120" tabRatio="818" xr2:uid="{00000000-000D-0000-FFFF-FFFF00000000}"/>
  </bookViews>
  <sheets>
    <sheet name="Cover " sheetId="95" r:id="rId1"/>
    <sheet name="Q1 Hardy LO 1" sheetId="59" r:id="rId2"/>
    <sheet name="A1 Hardy LO 1" sheetId="60" r:id="rId3"/>
    <sheet name="Q2 Hardy LO 1" sheetId="57" r:id="rId4"/>
    <sheet name="A2 Hardy LO 1" sheetId="58" r:id="rId5"/>
    <sheet name="Q Friedland 34 LO 6" sheetId="25" r:id="rId6"/>
    <sheet name="A Friedland 34 LO 6" sheetId="26" r:id="rId7"/>
    <sheet name="Q Clark LO 7" sheetId="22" r:id="rId8"/>
    <sheet name="A Clark LO 7" sheetId="23" r:id="rId9"/>
    <sheet name="Q Mango LO 8d" sheetId="31" r:id="rId10"/>
    <sheet name="A Mango LO 8d" sheetId="32" r:id="rId11"/>
  </sheets>
  <externalReferences>
    <externalReference r:id="rId12"/>
    <externalReference r:id="rId13"/>
  </externalReferences>
  <definedNames>
    <definedName name="Allocations">#REF!</definedName>
    <definedName name="Non_Fac">'[1]User Input'!$C$74</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0" l="1"/>
  <c r="D21" i="60"/>
  <c r="E21" i="60"/>
  <c r="D31" i="60" s="1"/>
  <c r="F21" i="60"/>
  <c r="E31" i="60" s="1"/>
  <c r="G21" i="60"/>
  <c r="C22" i="60"/>
  <c r="D22" i="60"/>
  <c r="E22" i="60"/>
  <c r="D32" i="60" s="1"/>
  <c r="F22" i="60"/>
  <c r="C23" i="60"/>
  <c r="B33" i="60" s="1"/>
  <c r="D23" i="60"/>
  <c r="C33" i="60" s="1"/>
  <c r="E23" i="60"/>
  <c r="D33" i="60" s="1"/>
  <c r="C24" i="60"/>
  <c r="B34" i="60" s="1"/>
  <c r="D24" i="60"/>
  <c r="C34" i="60" s="1"/>
  <c r="C25" i="60"/>
  <c r="B35" i="60" s="1"/>
  <c r="B31" i="60"/>
  <c r="C31" i="60"/>
  <c r="B32" i="60"/>
  <c r="C32" i="60"/>
  <c r="G48" i="60"/>
  <c r="F29" i="58"/>
  <c r="F33" i="58" s="1"/>
  <c r="G29" i="58"/>
  <c r="G33" i="58" s="1"/>
  <c r="D36" i="60" l="1"/>
  <c r="E32" i="60"/>
  <c r="E36" i="60" s="1"/>
  <c r="C36" i="60"/>
  <c r="B36" i="60"/>
  <c r="F31" i="60"/>
  <c r="F36" i="60" s="1"/>
  <c r="F37" i="60" s="1"/>
  <c r="E37" i="60"/>
  <c r="C37" i="60"/>
  <c r="C42" i="60" s="1"/>
  <c r="B37" i="60"/>
  <c r="C52" i="60" s="1"/>
  <c r="D52" i="60" s="1"/>
  <c r="D37" i="60"/>
  <c r="E50" i="60" s="1"/>
  <c r="F50" i="60" s="1"/>
  <c r="G50" i="60" s="1"/>
  <c r="F49" i="60"/>
  <c r="G49" i="60" s="1"/>
  <c r="E42" i="60"/>
  <c r="H29" i="58"/>
  <c r="D42" i="60" l="1"/>
  <c r="E52" i="60"/>
  <c r="F52" i="60" s="1"/>
  <c r="G52" i="60" s="1"/>
  <c r="D51" i="60"/>
  <c r="E51" i="60" s="1"/>
  <c r="F51" i="60" s="1"/>
  <c r="G51" i="60" s="1"/>
  <c r="B42" i="60"/>
  <c r="F42" i="60"/>
  <c r="C57" i="60" l="1"/>
  <c r="B62" i="60"/>
  <c r="B57" i="60"/>
  <c r="C62" i="60"/>
  <c r="C17" i="32" l="1"/>
  <c r="C18" i="32" s="1"/>
  <c r="B23" i="32"/>
  <c r="C23" i="32"/>
  <c r="E23" i="32"/>
  <c r="B36" i="32"/>
  <c r="C36" i="32"/>
  <c r="E36" i="32"/>
  <c r="B38" i="32"/>
  <c r="C38" i="32"/>
  <c r="E38" i="32"/>
  <c r="C44" i="26"/>
  <c r="I31" i="26"/>
  <c r="C37" i="26" s="1"/>
  <c r="F30" i="26"/>
  <c r="I20" i="26"/>
  <c r="C26" i="26" s="1"/>
  <c r="I18" i="26"/>
  <c r="H40" i="26" s="1"/>
  <c r="G15" i="26"/>
  <c r="H15" i="25"/>
  <c r="E39" i="32" l="1"/>
  <c r="C39" i="32"/>
  <c r="B39" i="32"/>
  <c r="D39" i="32" s="1"/>
  <c r="I19" i="26"/>
  <c r="C23" i="26" s="1"/>
  <c r="D23" i="32"/>
  <c r="D36" i="32"/>
  <c r="B25" i="32"/>
  <c r="B27" i="32" s="1"/>
  <c r="E25" i="32"/>
  <c r="E27" i="32" s="1"/>
  <c r="C25" i="32"/>
  <c r="C27" i="32" s="1"/>
  <c r="E23" i="26"/>
  <c r="G23" i="26" s="1"/>
  <c r="E26" i="26" s="1"/>
  <c r="G26" i="26" s="1"/>
  <c r="H30" i="26"/>
  <c r="J30" i="26" s="1"/>
  <c r="C34" i="26" s="1"/>
  <c r="E34" i="26"/>
  <c r="B71" i="23"/>
  <c r="B70" i="23"/>
  <c r="B65" i="23"/>
  <c r="F56" i="23"/>
  <c r="B67" i="23" s="1"/>
  <c r="C68" i="23" s="1"/>
  <c r="F55" i="23"/>
  <c r="B69" i="23" s="1"/>
  <c r="F54" i="23"/>
  <c r="B66" i="23" s="1"/>
  <c r="D47" i="23"/>
  <c r="D44" i="23"/>
  <c r="F36" i="23"/>
  <c r="C35" i="23"/>
  <c r="C31" i="23"/>
  <c r="B27" i="23"/>
  <c r="B26" i="23"/>
  <c r="B25" i="23"/>
  <c r="B24" i="23"/>
  <c r="B23" i="23"/>
  <c r="E8" i="23"/>
  <c r="D45" i="23" s="1"/>
  <c r="D6" i="23"/>
  <c r="F21" i="23" s="1"/>
  <c r="I27" i="22"/>
  <c r="F26" i="22"/>
  <c r="F25" i="22"/>
  <c r="F8" i="22"/>
  <c r="D6" i="22"/>
  <c r="D27" i="32" l="1"/>
  <c r="G34" i="26"/>
  <c r="E37" i="26" s="1"/>
  <c r="G37" i="26" s="1"/>
  <c r="C27" i="23"/>
  <c r="C23" i="23"/>
  <c r="C24" i="23"/>
  <c r="C25" i="23"/>
  <c r="B78" i="23"/>
  <c r="C26" i="23"/>
  <c r="C28" i="23" l="1"/>
  <c r="C32" i="23" s="1"/>
  <c r="C33" i="23" s="1"/>
  <c r="E37" i="23" s="1"/>
  <c r="D46" i="23" s="1"/>
  <c r="D49" i="2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<sst xmlns="http://schemas.openxmlformats.org/spreadsheetml/2006/main" count="381" uniqueCount="201">
  <si>
    <t>N/A</t>
  </si>
  <si>
    <t>Source:</t>
  </si>
  <si>
    <t>Basics of Reinsurance Pricing, Clark, Actuarial Study Note, 2014.</t>
  </si>
  <si>
    <t>An Application of Game Theory: Property Catastrophe Risk Load, Mango, 1998.</t>
  </si>
  <si>
    <t xml:space="preserve">In the year 2026, an insurer purchases a </t>
  </si>
  <si>
    <t xml:space="preserve"> quota-share reinsurance  treaty applicable to ground-up losses and a catastrophe cover for </t>
  </si>
  <si>
    <t>in excess of</t>
  </si>
  <si>
    <t>The quota-share treaty inures to the benefit of the catastrophe cover.</t>
  </si>
  <si>
    <t xml:space="preserve">The catasrophe cover has a reinstatement provision which is </t>
  </si>
  <si>
    <t>pro-rata as to amount.</t>
  </si>
  <si>
    <t>The annual premium for the catastrophe cover is</t>
  </si>
  <si>
    <t>During the year 2026, the following covered losses occurred from a single catastrophic event. The losses are expressed as ground-up amounts.</t>
  </si>
  <si>
    <t>Loss A</t>
  </si>
  <si>
    <t>Loss B</t>
  </si>
  <si>
    <t>Loss C</t>
  </si>
  <si>
    <t>Loss D</t>
  </si>
  <si>
    <t>Loss E</t>
  </si>
  <si>
    <t>A profit commission of</t>
  </si>
  <si>
    <t>This commission applies after a margin on the annual premium of</t>
  </si>
  <si>
    <t xml:space="preserve">An additional premium also applies at a percentage of </t>
  </si>
  <si>
    <t>applied to the sum of (Loss + Margin - Annual Premium)</t>
  </si>
  <si>
    <t xml:space="preserve">The expected loss amount for the catastrophe cover is </t>
  </si>
  <si>
    <t xml:space="preserve">If a loss is known to occur within the catastrophe layer, the expected loss amount is </t>
  </si>
  <si>
    <t xml:space="preserve">Since the quota-share treaty inures to the benefit of the catastrophe treaty, it will pay </t>
  </si>
  <si>
    <t>of each loss first.</t>
  </si>
  <si>
    <t>Times Quota-Share %</t>
  </si>
  <si>
    <t>Total from Quota-Share</t>
  </si>
  <si>
    <t xml:space="preserve">This leaves the insurer with a post-quota-share total loss of </t>
  </si>
  <si>
    <t>Original Total:</t>
  </si>
  <si>
    <t>Less Quota-Share Loss:</t>
  </si>
  <si>
    <t>Remaining Loss:</t>
  </si>
  <si>
    <t xml:space="preserve">Of this remaining loss, the first </t>
  </si>
  <si>
    <t>is retained by the insurer.</t>
  </si>
  <si>
    <t xml:space="preserve">The catastrophe cover will pay the remainder of the loss within its layer, up to </t>
  </si>
  <si>
    <t>Here, the remaining loss in the catastrophe-cover  layer is</t>
  </si>
  <si>
    <t>We use the following formula:</t>
  </si>
  <si>
    <t>Reinstatement premium = annual premium × pro-rata provision × recoverable from catastrophe treaty / catastrophe-cover layer</t>
  </si>
  <si>
    <t>Here, the annual premium is</t>
  </si>
  <si>
    <t>The pro-rata provision is</t>
  </si>
  <si>
    <t xml:space="preserve">The catastrophe-treaty recoverable is </t>
  </si>
  <si>
    <t>The catastrophe-cover layer is</t>
  </si>
  <si>
    <t>Thus, the reinstatement premium is</t>
  </si>
  <si>
    <t>Let P be the annual premium, C be the profit commission, L be the loss, M be the margin, and A be the additional premium percentage.</t>
  </si>
  <si>
    <t>The general formula to solve for A would be:</t>
  </si>
  <si>
    <t>We are given the following:</t>
  </si>
  <si>
    <t>C =</t>
  </si>
  <si>
    <t>M =</t>
  </si>
  <si>
    <t xml:space="preserve">Pr(L=0) = </t>
  </si>
  <si>
    <t xml:space="preserve">Pr(L&gt;0) = </t>
  </si>
  <si>
    <t xml:space="preserve">1 - Pr(L=0) = </t>
  </si>
  <si>
    <t xml:space="preserve">A = </t>
  </si>
  <si>
    <t xml:space="preserve">E(L) = </t>
  </si>
  <si>
    <t>We rearrange the above formula to solve for P:</t>
  </si>
  <si>
    <t xml:space="preserve">Thus, P = </t>
  </si>
  <si>
    <t>P - C*(1-M)*Pr(L=0) + A*[E(L ç L &gt; 0) + M*P - P]*Pr(L&gt;0)] = E(L) + M*P</t>
  </si>
  <si>
    <t xml:space="preserve">E(L ç L &gt; 0) = </t>
  </si>
  <si>
    <t>P - M*P + A*(Pr(L&gt;0))[M*P - P] = E(L) + C*(1-M)*Pr(L=0) - A*[E(L ç L &gt; 0)*Pr(L&gt;0)</t>
  </si>
  <si>
    <t>P - M*P + A*(Pr(L&gt;0))(M-1)*P = E(L) + C*(1-M)*Pr(L=0) - A*[E(L ç L &gt; 0)*Pr(L&gt;0)</t>
  </si>
  <si>
    <t>P*[1-M+A*(Pr(L&gt;0))(M-1)] = E(L) + C*(1-M)*Pr(L=0) - A*[E(L ç L &gt; 0)*Pr(L&gt;0)</t>
  </si>
  <si>
    <t>P = [E(L) + C*(1-M)*Pr(L=0) - A*[E(L ç L &gt; 0)*Pr(L&gt;0)]/[1-M+A*(Pr(L&gt;0))(M-1)]</t>
  </si>
  <si>
    <t>Assume that the value of a property being insured at the time of loss  is</t>
  </si>
  <si>
    <t>.</t>
  </si>
  <si>
    <t>The applicable insurance policy has a required coinsurance percentage of</t>
  </si>
  <si>
    <t>A deductible applies to this property insurance policy in the amount of</t>
  </si>
  <si>
    <t xml:space="preserve">A loss occurs in the amount of </t>
  </si>
  <si>
    <t>in each of the following scenarios:</t>
  </si>
  <si>
    <t>The amount of coverage needed to fulfill the required coinsurance</t>
  </si>
  <si>
    <t>percentage and avoid a penalty is (Value of Property)*(Required Coinsurance %) =</t>
  </si>
  <si>
    <t>The ratio of the limit selected by the insured to this required percentage is</t>
  </si>
  <si>
    <t>To calculate the amount that the insurer will pay, we multiple the coinsurance apportionment ratio by the amount of loss after the deductible:</t>
  </si>
  <si>
    <t>(i) Insurer Pays:</t>
  </si>
  <si>
    <t>*</t>
  </si>
  <si>
    <t>=</t>
  </si>
  <si>
    <t>(ii) Coinsurance Penalty:</t>
  </si>
  <si>
    <t>-</t>
  </si>
  <si>
    <t xml:space="preserve">In this case, the coinsurance apportionment ratio is </t>
  </si>
  <si>
    <t>/</t>
  </si>
  <si>
    <t>The value of the property, multiplied by the required coinsurance percentage, is</t>
  </si>
  <si>
    <t>In this case, we note that the limit of coverage exceeds the value of the property, multiplied by the required coinsurance percentage.</t>
  </si>
  <si>
    <t>Fundamentals of General Insurance Actuarial Analysis, Friedland, 2nd Ed., Chapter 34</t>
  </si>
  <si>
    <t>The risk-load multiplier λ for the Marginal Surplus Method is</t>
  </si>
  <si>
    <t>Variance of Losses</t>
  </si>
  <si>
    <t>X + Y</t>
  </si>
  <si>
    <t>Y</t>
  </si>
  <si>
    <t>X</t>
  </si>
  <si>
    <t>Account</t>
  </si>
  <si>
    <t>You are given the following information for Accounts X and Y, which are being combined into a portfolio (X+Y).</t>
  </si>
  <si>
    <t>Problem PCRL-1.</t>
  </si>
  <si>
    <t>(X + Y)</t>
  </si>
  <si>
    <t>Portfolio</t>
  </si>
  <si>
    <t>Account X + Account Y</t>
  </si>
  <si>
    <t>Account Y</t>
  </si>
  <si>
    <t>Account X</t>
  </si>
  <si>
    <t>Renewal Scenario: Each Account Renewed: Marginal Surplus (MS) Method</t>
  </si>
  <si>
    <t xml:space="preserve">For the Marginal Surplus (MS) method, we use the originally provided risk-load multiplier of 0.48. </t>
  </si>
  <si>
    <t>Renewal Scenario: Each Account Renewed: Marginal Variance (MV) Method</t>
  </si>
  <si>
    <t xml:space="preserve">Thus, (MV risk-load multiplier) = </t>
  </si>
  <si>
    <t xml:space="preserve">SD(X+Y) = √(Var(X+Y)) = </t>
  </si>
  <si>
    <t>(MV risk-load multiplier) = (MS risk-load multiplier)/SD(X + Y)</t>
  </si>
  <si>
    <t>First, we need to calculate the risk-load multiplier for the Marginal Variance (MV) method.</t>
  </si>
  <si>
    <t>Q</t>
  </si>
  <si>
    <t>Table 2: Fitted ODP model</t>
  </si>
  <si>
    <t>AY6</t>
  </si>
  <si>
    <t>AY5</t>
  </si>
  <si>
    <t>AY4</t>
  </si>
  <si>
    <t>AY3</t>
  </si>
  <si>
    <t>AY2</t>
  </si>
  <si>
    <t>AY1</t>
  </si>
  <si>
    <t>DY6</t>
  </si>
  <si>
    <t>DY5</t>
  </si>
  <si>
    <t>DY4</t>
  </si>
  <si>
    <t>DY3</t>
  </si>
  <si>
    <t>DY2</t>
  </si>
  <si>
    <t>DY1</t>
  </si>
  <si>
    <t>Cumulative claim payments as of the end of year</t>
  </si>
  <si>
    <t>Table 1: Development triangle</t>
  </si>
  <si>
    <t xml:space="preserve">As an actuary working in the loss reserving department of an insurance company, you are given one development triangle (Table 1) from your manager. You assume that there will be no more developments for the cumulative claim payment beyond DY6. Your team decide to fit an overdispersed Poisson (ODP) model to the development triangle, for which the fitted model is shown in Table 2. (a) Estimate the unpaid claims for AY3; (b) Estimate the standard deviations of the incremental claim payments for AY3 during DY5 and DY6 using ODP model. </t>
  </si>
  <si>
    <t>Question on overdispersed Poisson model</t>
  </si>
  <si>
    <t>Estimated SD (for part (b))</t>
  </si>
  <si>
    <t>Total unpaid</t>
  </si>
  <si>
    <t>Estimated incremental claim payments (for part (a))</t>
  </si>
  <si>
    <t>phi</t>
  </si>
  <si>
    <t>b6</t>
  </si>
  <si>
    <t>b5</t>
  </si>
  <si>
    <t>b4</t>
  </si>
  <si>
    <t>b3</t>
  </si>
  <si>
    <t>b2</t>
  </si>
  <si>
    <t>a6</t>
  </si>
  <si>
    <t>a5</t>
  </si>
  <si>
    <t>a4</t>
  </si>
  <si>
    <t>a3</t>
  </si>
  <si>
    <t>a2</t>
  </si>
  <si>
    <t>c</t>
  </si>
  <si>
    <t>SD</t>
  </si>
  <si>
    <t>Estimate</t>
  </si>
  <si>
    <t>Parameter</t>
  </si>
  <si>
    <t>Useful parameters</t>
  </si>
  <si>
    <t>(a) Recall that the mean and variance for the incremental claim payment of the AYi and DYj under the ODP model are respectively E[Xij]=exp(c+ai+bj) and V[Xij]=phi*exp(c+ai+bj), where phi is the dispersion parameter. The estimated ultimate cumulative claim payment is calculated as follows. (b) When calculating the SDs of the incremental claim payments, use the delta method (to consider the SDs of the estimated parameters).</t>
  </si>
  <si>
    <t>Outstanding Claim Reserves, Version 1.3a, SOA, 2022</t>
  </si>
  <si>
    <t>Incremental claim payments as of the end of year</t>
  </si>
  <si>
    <t xml:space="preserve">Your actuarial team is presented a loss development triangle as shown in Table 1. You estimate the age-to-age (ATA) development factor using the mean, while your another team member estimates the ATA development factor using the simple average. Compare the estimated process variances for AY3 and AY5 under the different estimated ATA factors. </t>
  </si>
  <si>
    <t>Question on Mack model</t>
  </si>
  <si>
    <t>Variance</t>
  </si>
  <si>
    <t>AY</t>
  </si>
  <si>
    <t>Table 7a: Process variance (based on Simple average)</t>
  </si>
  <si>
    <t>Table 6a: Process variance (based on Mean)</t>
  </si>
  <si>
    <t>Table 5a: Projected development triangle</t>
  </si>
  <si>
    <t>sigma</t>
  </si>
  <si>
    <t>DY</t>
  </si>
  <si>
    <t>Table 4a: Estimated sigma (based on Mean)</t>
  </si>
  <si>
    <t>Mean</t>
  </si>
  <si>
    <t>Simple</t>
  </si>
  <si>
    <t>5-6</t>
  </si>
  <si>
    <t>4-5</t>
  </si>
  <si>
    <t>3-4</t>
  </si>
  <si>
    <t>2-3</t>
  </si>
  <si>
    <t>1-2</t>
  </si>
  <si>
    <t>Age-to-age development factors</t>
  </si>
  <si>
    <t>Table 3: Development factors</t>
  </si>
  <si>
    <t>Table 2: Development triangle</t>
  </si>
  <si>
    <t>Refer to Section 4.2.1 of the study note for the formula of process variance.</t>
  </si>
  <si>
    <t>Answer: for AY3, using mean-based ATA factors give slightly larger process variance, while for AY5, using mean-based ATA factors give slightly smaller process variance.</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</si>
  <si>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</si>
  <si>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</si>
  <si>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</si>
  <si>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</si>
  <si>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</si>
  <si>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</si>
  <si>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These guided examples have been developed by an actuarial subject matter expert (see tabs for details)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</si>
  <si>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education@soa.org</t>
  </si>
  <si>
    <t>Version 2025-1</t>
  </si>
  <si>
    <t>Updated: July 8, 2025</t>
  </si>
  <si>
    <t xml:space="preserve">Copyright © Society of Actuaries </t>
  </si>
  <si>
    <t>GI 301 - Further Topics in General Insurance</t>
  </si>
  <si>
    <r>
      <t xml:space="preserve">(a) </t>
    </r>
    <r>
      <rPr>
        <sz val="11"/>
        <color theme="1"/>
        <rFont val="Aptos"/>
        <family val="2"/>
      </rPr>
      <t xml:space="preserve">Calculate the renewal risk loads for accounts X and Y, the sums of the two accounts, and the combined portfolio (X+Y) using the Marginal Variance Method. </t>
    </r>
  </si>
  <si>
    <r>
      <t xml:space="preserve">(1) </t>
    </r>
    <r>
      <rPr>
        <sz val="11"/>
        <color theme="1"/>
        <rFont val="Aptos"/>
        <family val="2"/>
      </rPr>
      <t>Change in Variance</t>
    </r>
  </si>
  <si>
    <r>
      <t xml:space="preserve">(2) </t>
    </r>
    <r>
      <rPr>
        <sz val="11"/>
        <color theme="1"/>
        <rFont val="Aptos"/>
        <family val="2"/>
      </rPr>
      <t>Risk-Load Multiplier</t>
    </r>
  </si>
  <si>
    <r>
      <t xml:space="preserve">(3) </t>
    </r>
    <r>
      <rPr>
        <sz val="11"/>
        <color theme="1"/>
        <rFont val="Aptos"/>
        <family val="2"/>
      </rPr>
      <t>Risk Load = (1)*(2)</t>
    </r>
  </si>
  <si>
    <r>
      <rPr>
        <b/>
        <sz val="11"/>
        <color theme="1"/>
        <rFont val="Aptos"/>
        <family val="2"/>
      </rPr>
      <t>(b)</t>
    </r>
    <r>
      <rPr>
        <sz val="11"/>
        <color theme="1"/>
        <rFont val="Aptos"/>
        <family val="2"/>
      </rPr>
      <t xml:space="preserve"> Calculate the renewal risk loads for accounts X and Y, the sums of the two accounts, and the combined portfolio (X+Y) using the Marginal Surplus Method. </t>
    </r>
  </si>
  <si>
    <r>
      <t xml:space="preserve">(4) </t>
    </r>
    <r>
      <rPr>
        <sz val="11"/>
        <color theme="1"/>
        <rFont val="Aptos"/>
        <family val="2"/>
      </rPr>
      <t xml:space="preserve">Change in SD </t>
    </r>
  </si>
  <si>
    <r>
      <t xml:space="preserve">(5) </t>
    </r>
    <r>
      <rPr>
        <sz val="11"/>
        <color theme="1"/>
        <rFont val="Aptos"/>
        <family val="2"/>
      </rPr>
      <t>Risk-Load Multiplier</t>
    </r>
  </si>
  <si>
    <r>
      <t xml:space="preserve">(6) </t>
    </r>
    <r>
      <rPr>
        <sz val="11"/>
        <color theme="1"/>
        <rFont val="Aptos"/>
        <family val="2"/>
      </rPr>
      <t>Risk Load = (4)*(5)</t>
    </r>
  </si>
  <si>
    <r>
      <rPr>
        <b/>
        <sz val="11"/>
        <color theme="1"/>
        <rFont val="Aptos"/>
        <family val="2"/>
      </rPr>
      <t xml:space="preserve">(c) </t>
    </r>
    <r>
      <rPr>
        <sz val="11"/>
        <color theme="1"/>
        <rFont val="Aptos"/>
        <family val="2"/>
      </rPr>
      <t>Evaluate whether or not the Marginal Variance and Marginal Surplus Methods are renewal-additive for this situation.</t>
    </r>
  </si>
  <si>
    <r>
      <t xml:space="preserve">The risk loads are </t>
    </r>
    <r>
      <rPr>
        <b/>
        <sz val="11"/>
        <color theme="1"/>
        <rFont val="Aptos"/>
        <family val="2"/>
      </rPr>
      <t>not renewal-additive</t>
    </r>
    <r>
      <rPr>
        <sz val="11"/>
        <color theme="1"/>
        <rFont val="Aptos"/>
        <family val="2"/>
      </rPr>
      <t xml:space="preserve"> for either method.</t>
    </r>
  </si>
  <si>
    <r>
      <t xml:space="preserve">For the Marginal Variance method, we see that the sum of the account-specific renewal risk loads, 5,386.67, is greater than the portfolio risk load, 4,320. Thus, the Marginal Variance method is </t>
    </r>
    <r>
      <rPr>
        <b/>
        <sz val="11"/>
        <color theme="1"/>
        <rFont val="Aptos"/>
        <family val="2"/>
      </rPr>
      <t>superadditive</t>
    </r>
    <r>
      <rPr>
        <sz val="11"/>
        <color theme="1"/>
        <rFont val="Aptos"/>
        <family val="2"/>
      </rPr>
      <t>.</t>
    </r>
  </si>
  <si>
    <r>
      <t xml:space="preserve">For the Marginal Surplus method, we see that the sum of the account-specific renewal risk loads, 3,360, is less than the portfolio risk load, 4,320. Thus, the Marginal Surplus method is </t>
    </r>
    <r>
      <rPr>
        <b/>
        <sz val="11"/>
        <color theme="1"/>
        <rFont val="Aptos"/>
        <family val="2"/>
      </rPr>
      <t>subadditive</t>
    </r>
    <r>
      <rPr>
        <sz val="11"/>
        <color theme="1"/>
        <rFont val="Aptos"/>
        <family val="2"/>
      </rPr>
      <t>.</t>
    </r>
  </si>
  <si>
    <r>
      <t xml:space="preserve">(a) </t>
    </r>
    <r>
      <rPr>
        <sz val="11"/>
        <color theme="1"/>
        <rFont val="Aptos"/>
        <family val="2"/>
      </rPr>
      <t>Calculate how much each reinsurance treaty will pay for the losses that occurred in 2026.</t>
    </r>
  </si>
  <si>
    <r>
      <t xml:space="preserve">(b) </t>
    </r>
    <r>
      <rPr>
        <sz val="11"/>
        <color theme="1"/>
        <rFont val="Aptos"/>
        <family val="2"/>
      </rPr>
      <t>Calculate the reinstatement premium for the catastrophe cover, subsequent to the losses during the year 2026.</t>
    </r>
  </si>
  <si>
    <r>
      <rPr>
        <b/>
        <sz val="11"/>
        <color theme="1"/>
        <rFont val="Aptos"/>
        <family val="2"/>
      </rPr>
      <t>(c)</t>
    </r>
    <r>
      <rPr>
        <sz val="11"/>
        <color theme="1"/>
        <rFont val="Aptos"/>
        <family val="2"/>
      </rPr>
      <t xml:space="preserve"> Calculate the annual premium for a modified catastrophe cover on a finite-risk basis, which introduces the following elements:</t>
    </r>
  </si>
  <si>
    <r>
      <t xml:space="preserve">The annual probability of </t>
    </r>
    <r>
      <rPr>
        <i/>
        <sz val="11"/>
        <color theme="1"/>
        <rFont val="Aptos"/>
        <family val="2"/>
      </rPr>
      <t>no</t>
    </r>
    <r>
      <rPr>
        <sz val="11"/>
        <color theme="1"/>
        <rFont val="Aptos"/>
        <family val="2"/>
      </rPr>
      <t xml:space="preserve"> losses occurring in the catastrophe treaty layer is estimated at</t>
    </r>
  </si>
  <si>
    <r>
      <t xml:space="preserve">Calculate </t>
    </r>
    <r>
      <rPr>
        <b/>
        <sz val="11"/>
        <color theme="1"/>
        <rFont val="Aptos"/>
        <family val="2"/>
      </rPr>
      <t xml:space="preserve">(i) </t>
    </r>
    <r>
      <rPr>
        <sz val="11"/>
        <color theme="1"/>
        <rFont val="Aptos"/>
        <family val="2"/>
      </rPr>
      <t xml:space="preserve">the amount of loss paid by the insurer, as well as </t>
    </r>
    <r>
      <rPr>
        <b/>
        <sz val="11"/>
        <color theme="1"/>
        <rFont val="Aptos"/>
        <family val="2"/>
      </rPr>
      <t>(ii)</t>
    </r>
    <r>
      <rPr>
        <sz val="11"/>
        <color theme="1"/>
        <rFont val="Aptos"/>
        <family val="2"/>
      </rPr>
      <t xml:space="preserve"> the  coinsurance penalty that would apply,</t>
    </r>
  </si>
  <si>
    <r>
      <t xml:space="preserve">(a) Scenario 1: </t>
    </r>
    <r>
      <rPr>
        <sz val="11"/>
        <color theme="1"/>
        <rFont val="Aptos"/>
        <family val="2"/>
      </rPr>
      <t xml:space="preserve">The insured has purchased coverage with a limit of </t>
    </r>
  </si>
  <si>
    <r>
      <t xml:space="preserve">Ü This is called the </t>
    </r>
    <r>
      <rPr>
        <i/>
        <sz val="11"/>
        <color theme="1"/>
        <rFont val="Aptos"/>
        <family val="2"/>
      </rPr>
      <t>coinsurance apportionment ratio</t>
    </r>
    <r>
      <rPr>
        <sz val="11"/>
        <color theme="1"/>
        <rFont val="Aptos"/>
        <family val="2"/>
      </rPr>
      <t>.</t>
    </r>
  </si>
  <si>
    <r>
      <t xml:space="preserve">The amount of loss, </t>
    </r>
    <r>
      <rPr>
        <i/>
        <sz val="11"/>
        <color theme="1"/>
        <rFont val="Aptos"/>
        <family val="2"/>
      </rPr>
      <t xml:space="preserve">after </t>
    </r>
    <r>
      <rPr>
        <sz val="11"/>
        <color theme="1"/>
        <rFont val="Aptos"/>
        <family val="2"/>
      </rPr>
      <t>application of the deductible, is</t>
    </r>
  </si>
  <si>
    <r>
      <t xml:space="preserve">The coinsurance penalty is the difference between the amount of loss </t>
    </r>
    <r>
      <rPr>
        <i/>
        <sz val="11"/>
        <color theme="1"/>
        <rFont val="Aptos"/>
        <family val="2"/>
      </rPr>
      <t xml:space="preserve">after </t>
    </r>
    <r>
      <rPr>
        <sz val="11"/>
        <color theme="1"/>
        <rFont val="Aptos"/>
        <family val="2"/>
      </rPr>
      <t>the deductible and the amount paid by the insurer:</t>
    </r>
  </si>
  <si>
    <r>
      <t xml:space="preserve">(b) Scenario 2: </t>
    </r>
    <r>
      <rPr>
        <sz val="11"/>
        <color theme="1"/>
        <rFont val="Aptos"/>
        <family val="2"/>
      </rPr>
      <t xml:space="preserve">The insured has purchased coverage with a limit of </t>
    </r>
  </si>
  <si>
    <r>
      <t xml:space="preserve">(c) Scenario 3: </t>
    </r>
    <r>
      <rPr>
        <sz val="11"/>
        <color theme="1"/>
        <rFont val="Aptos"/>
        <family val="2"/>
      </rPr>
      <t>The insured has purchased coverage with a limit of</t>
    </r>
  </si>
  <si>
    <r>
      <t xml:space="preserve">Thus, </t>
    </r>
    <r>
      <rPr>
        <b/>
        <sz val="11"/>
        <color theme="1"/>
        <rFont val="Aptos"/>
        <family val="2"/>
      </rPr>
      <t>a coinsurance penalty will not apply</t>
    </r>
    <r>
      <rPr>
        <sz val="11"/>
        <color theme="1"/>
        <rFont val="Aptos"/>
        <family val="2"/>
      </rPr>
      <t>, and the insurer will pay the full loss after subtracting the deductible.</t>
    </r>
  </si>
  <si>
    <r>
      <t xml:space="preserve">Therefore, </t>
    </r>
    <r>
      <rPr>
        <b/>
        <sz val="11"/>
        <color theme="1"/>
        <rFont val="Aptos"/>
        <family val="2"/>
      </rPr>
      <t>(i) Insurer Pays:</t>
    </r>
  </si>
  <si>
    <r>
      <t xml:space="preserve">This guided example has been developed by </t>
    </r>
    <r>
      <rPr>
        <b/>
        <sz val="11"/>
        <color theme="1"/>
        <rFont val="Aptos"/>
        <family val="2"/>
      </rPr>
      <t>Gennady Stolyarov II (FSA, ACAS, MAAA, CPCU, Are, ARC, API, AIS, AIE, AIAF), ACTEX Learning</t>
    </r>
    <r>
      <rPr>
        <sz val="11"/>
        <color theme="1"/>
        <rFont val="Aptos"/>
        <family val="2"/>
      </rPr>
      <t xml:space="preserve"> with review and edits as appropriate by course curriculum volunteers and SOA staff.</t>
    </r>
  </si>
  <si>
    <r>
      <t xml:space="preserve">This guided example has been developed by </t>
    </r>
    <r>
      <rPr>
        <b/>
        <sz val="11"/>
        <color theme="1"/>
        <rFont val="Aptos"/>
        <family val="2"/>
      </rPr>
      <t>Wenjun Jiang (PhD), ACTEX Learning</t>
    </r>
    <r>
      <rPr>
        <sz val="11"/>
        <color theme="1"/>
        <rFont val="Aptos"/>
        <family val="2"/>
      </rPr>
      <t xml:space="preserve"> with review and edits as appropriate by course curriculum volunteers and SOA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</si>
</sst>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3" formatCode="_(* #,##0.00_);_(* \(#,##0.00\);_(* &quot;-&quot;??_);_(@_)"/>
    <numFmt numFmtId="164" formatCode="0.000"/>
    <numFmt numFmtId="166" formatCode="&quot;$&quot;#,##0"/>
    <numFmt numFmtId="167" formatCode="&quot;$&quot;#,##0.00"/>
    <numFmt numFmtId="175" formatCode="_-* #,##0.00_-;\-* #,##0.00_-;_-* &quot;-&quot;??_-;_-@_-"/>
    <numFmt numFmtId="178" formatCode="_-&quot;$&quot;* #,##0.00_-;\-&quot;$&quot;* #,##0.00_-;_-&quot;$&quot;* &quot;-&quot;??_-;_-@_-"/>
  </numFmts>
  <fonts count="21">
    <font>
      <sz val="11"/>
      <color theme="1"/>
      <name val="Calibri"/>
      <family val="2"/>
      <scheme val="minor"/>
    </font>
    <font>
      <sz val="11"/>
      <color theme="1"/>
      <name val="Calibri"/>
      <family val="2"/>
      <scheme val="minor"/>
    </font>
    <font>
      <sz val="11"/>
      <color rgb="FF000000"/>
      <name val="Calibri"/>
      <family val="2"/>
    </font>
    <font>
      <sz val="11"/>
      <color theme="1"/>
      <name val="Calibri"/>
      <family val="2"/>
      <charset val="134"/>
      <scheme val="minor"/>
    </font>
    <font>
      <sz val="11"/>
      <name val="Calibri"/>
      <family val="2"/>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
      <sz val="11"/>
      <color rgb="FF000000"/>
      <name val="Aptos"/>
      <family val="2"/>
    </font>
    <font>
      <u/>
      <sz val="11"/>
      <color rgb="FF000000"/>
      <name val="Aptos"/>
      <family val="2"/>
    </font>
    <font>
      <b/>
      <sz val="11"/>
      <color rgb="FF000000"/>
      <name val="Aptos"/>
      <family val="2"/>
    </font>
    <font>
      <sz val="11"/>
      <color theme="1"/>
      <name val="Aptos"/>
      <family val="2"/>
    </font>
    <font>
      <u/>
      <sz val="11"/>
      <color theme="1"/>
      <name val="Aptos"/>
      <family val="2"/>
    </font>
    <font>
      <b/>
      <sz val="11"/>
      <color theme="1"/>
      <name val="Aptos"/>
      <family val="2"/>
    </font>
    <font>
      <i/>
      <sz val="11"/>
      <color theme="1"/>
      <name val="Aptos"/>
      <family val="2"/>
    </font>
    <font>
      <sz val="11"/>
      <color rgb="FFFF0000"/>
      <name val="Aptos"/>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s>
  <cellStyleXfs count="10">
    <xf numFmtId="0" fontId="0" fillId="0" borderId="0"/>
    <xf numFmtId="43" fontId="1" fillId="0" borderId="0" applyFont="0" applyFill="0" applyBorder="0" applyAlignment="0" applyProtection="0"/>
    <xf numFmtId="0" fontId="2" fillId="0" borderId="0"/>
    <xf numFmtId="0" fontId="3" fillId="0" borderId="0">
      <alignment vertical="center"/>
    </xf>
    <xf numFmtId="9" fontId="3" fillId="0" borderId="0" applyFont="0" applyFill="0" applyBorder="0" applyAlignment="0" applyProtection="0">
      <alignment vertical="center"/>
    </xf>
    <xf numFmtId="0" fontId="4" fillId="0" borderId="0"/>
    <xf numFmtId="9" fontId="4" fillId="0" borderId="0" applyFont="0" applyFill="0" applyBorder="0" applyAlignment="0" applyProtection="0"/>
    <xf numFmtId="175" fontId="4" fillId="0" borderId="0" applyFont="0" applyFill="0" applyBorder="0" applyAlignment="0" applyProtection="0"/>
    <xf numFmtId="178" fontId="4" fillId="0" borderId="0" applyFont="0" applyFill="0" applyBorder="0" applyAlignment="0" applyProtection="0"/>
    <xf numFmtId="0" fontId="5" fillId="0" borderId="0" applyNumberFormat="0" applyFill="0" applyBorder="0" applyAlignment="0" applyProtection="0"/>
  </cellStyleXfs>
  <cellXfs count="130">
    <xf numFmtId="0" fontId="0" fillId="0" borderId="0" xfId="0"/>
    <xf numFmtId="0" fontId="6" fillId="0" borderId="0" xfId="0" applyFont="1" applyAlignment="1">
      <alignment horizontal="center"/>
    </xf>
    <xf numFmtId="0" fontId="7" fillId="0" borderId="0" xfId="0" applyFont="1"/>
    <xf numFmtId="0" fontId="8" fillId="0" borderId="0" xfId="0" applyFont="1" applyAlignment="1">
      <alignment horizontal="center"/>
    </xf>
    <xf numFmtId="0" fontId="0" fillId="0" borderId="0" xfId="0" applyAlignment="1">
      <alignment horizontal="right" vertical="top" indent="1"/>
    </xf>
    <xf numFmtId="0" fontId="9" fillId="0" borderId="0" xfId="0" applyFont="1" applyAlignment="1">
      <alignment horizontal="left" wrapText="1"/>
    </xf>
    <xf numFmtId="0" fontId="9" fillId="0" borderId="0" xfId="0" applyFont="1"/>
    <xf numFmtId="0" fontId="5" fillId="0" borderId="0" xfId="9"/>
    <xf numFmtId="0" fontId="10" fillId="0" borderId="0" xfId="9" applyFont="1"/>
    <xf numFmtId="0" fontId="11" fillId="0" borderId="0" xfId="0" applyFont="1"/>
    <xf numFmtId="0" fontId="12" fillId="0" borderId="0" xfId="0" applyFont="1" applyAlignment="1">
      <alignment horizontal="left"/>
    </xf>
    <xf numFmtId="0" fontId="12" fillId="0" borderId="0" xfId="0" applyFont="1" applyAlignment="1">
      <alignment horizontal="center"/>
    </xf>
    <xf numFmtId="0" fontId="12" fillId="0" borderId="0" xfId="0" applyFont="1" applyAlignment="1">
      <alignment horizontal="right"/>
    </xf>
    <xf numFmtId="0" fontId="13" fillId="0" borderId="0" xfId="2" applyFont="1"/>
    <xf numFmtId="0" fontId="14" fillId="0" borderId="0" xfId="2" applyFont="1"/>
    <xf numFmtId="0" fontId="15" fillId="0" borderId="0" xfId="2" applyFont="1" applyAlignment="1">
      <alignment horizontal="left"/>
    </xf>
    <xf numFmtId="0" fontId="13" fillId="4" borderId="0" xfId="2" applyFont="1" applyFill="1" applyAlignment="1">
      <alignment horizontal="left" vertical="top" wrapText="1"/>
    </xf>
    <xf numFmtId="0" fontId="15" fillId="0" borderId="0" xfId="2" applyFont="1" applyAlignment="1">
      <alignment horizontal="center"/>
    </xf>
    <xf numFmtId="0" fontId="13" fillId="2" borderId="0" xfId="2" applyFont="1" applyFill="1"/>
    <xf numFmtId="0" fontId="13" fillId="2" borderId="0" xfId="2" applyFont="1" applyFill="1" applyAlignment="1">
      <alignment horizontal="center"/>
    </xf>
    <xf numFmtId="0" fontId="13" fillId="2" borderId="0" xfId="2" applyFont="1" applyFill="1" applyAlignment="1">
      <alignment horizontal="center"/>
    </xf>
    <xf numFmtId="0" fontId="16" fillId="0" borderId="0" xfId="0" applyFont="1"/>
    <xf numFmtId="0" fontId="17" fillId="0" borderId="0" xfId="0" applyFont="1"/>
    <xf numFmtId="0" fontId="18" fillId="0" borderId="0" xfId="0" applyFont="1"/>
    <xf numFmtId="0" fontId="16" fillId="0" borderId="0" xfId="0" applyFont="1" applyAlignme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2" xfId="0" applyFont="1" applyBorder="1" applyAlignment="1">
      <alignment horizontal="center" vertical="center" wrapText="1"/>
    </xf>
    <xf numFmtId="3" fontId="16" fillId="0" borderId="13" xfId="0" applyNumberFormat="1" applyFont="1" applyBorder="1" applyAlignment="1">
      <alignment horizontal="center" vertical="center" wrapText="1"/>
    </xf>
    <xf numFmtId="0" fontId="16" fillId="0" borderId="7" xfId="0" applyFont="1" applyBorder="1"/>
    <xf numFmtId="0" fontId="18" fillId="0" borderId="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3" fontId="16" fillId="0" borderId="4"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4" fontId="18" fillId="2" borderId="4" xfId="0"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3" fontId="16" fillId="0" borderId="9" xfId="0" applyNumberFormat="1" applyFont="1" applyBorder="1" applyAlignment="1">
      <alignment horizontal="center" vertical="center" wrapText="1"/>
    </xf>
    <xf numFmtId="3" fontId="16" fillId="0" borderId="13" xfId="0" applyNumberFormat="1" applyFont="1" applyBorder="1" applyAlignment="1">
      <alignment horizontal="center" vertical="center" wrapText="1"/>
    </xf>
    <xf numFmtId="0" fontId="18" fillId="0" borderId="2" xfId="0" applyFont="1" applyBorder="1" applyAlignment="1">
      <alignment vertical="center" wrapText="1"/>
    </xf>
    <xf numFmtId="0" fontId="16" fillId="0" borderId="13" xfId="0" applyFont="1" applyBorder="1" applyAlignment="1">
      <alignment horizontal="center" vertical="center" wrapText="1"/>
    </xf>
    <xf numFmtId="3" fontId="18" fillId="2" borderId="13" xfId="0" applyNumberFormat="1" applyFont="1" applyFill="1" applyBorder="1" applyAlignment="1">
      <alignment horizontal="center" vertical="center" wrapText="1"/>
    </xf>
    <xf numFmtId="0" fontId="18" fillId="0" borderId="0" xfId="0" applyFont="1" applyAlignment="1">
      <alignment vertical="center"/>
    </xf>
    <xf numFmtId="9" fontId="16" fillId="0" borderId="7" xfId="0" applyNumberFormat="1" applyFont="1" applyBorder="1"/>
    <xf numFmtId="6" fontId="16" fillId="0" borderId="7" xfId="0" applyNumberFormat="1" applyFont="1" applyBorder="1"/>
    <xf numFmtId="3" fontId="16" fillId="0" borderId="7" xfId="0" applyNumberFormat="1" applyFont="1" applyBorder="1"/>
    <xf numFmtId="9" fontId="16" fillId="0" borderId="0" xfId="0" applyNumberFormat="1" applyFont="1"/>
    <xf numFmtId="0" fontId="17" fillId="0" borderId="4" xfId="0" applyFont="1" applyBorder="1" applyAlignment="1">
      <alignment horizontal="center" wrapText="1"/>
    </xf>
    <xf numFmtId="3" fontId="16" fillId="0" borderId="0" xfId="0" applyNumberFormat="1" applyFont="1"/>
    <xf numFmtId="6" fontId="16" fillId="0" borderId="6" xfId="0" applyNumberFormat="1" applyFont="1" applyBorder="1"/>
    <xf numFmtId="6" fontId="16" fillId="0" borderId="3" xfId="0" applyNumberFormat="1" applyFont="1" applyBorder="1"/>
    <xf numFmtId="6" fontId="18" fillId="2" borderId="7" xfId="0" applyNumberFormat="1" applyFont="1" applyFill="1" applyBorder="1"/>
    <xf numFmtId="6" fontId="16" fillId="0" borderId="0" xfId="0" applyNumberFormat="1" applyFont="1"/>
    <xf numFmtId="166" fontId="16" fillId="0" borderId="0" xfId="0" applyNumberFormat="1" applyFont="1" applyAlignment="1">
      <alignment horizontal="right" vertical="center"/>
    </xf>
    <xf numFmtId="9" fontId="16" fillId="0" borderId="0" xfId="0" applyNumberFormat="1" applyFont="1" applyAlignment="1">
      <alignment horizontal="right" vertical="center"/>
    </xf>
    <xf numFmtId="6" fontId="16" fillId="0" borderId="0" xfId="0" applyNumberFormat="1" applyFont="1" applyAlignment="1">
      <alignment horizontal="right" vertical="center"/>
    </xf>
    <xf numFmtId="0" fontId="16" fillId="0" borderId="4" xfId="0" applyFont="1" applyBorder="1"/>
    <xf numFmtId="167" fontId="18" fillId="2" borderId="7" xfId="0" applyNumberFormat="1" applyFont="1" applyFill="1" applyBorder="1"/>
    <xf numFmtId="8" fontId="16" fillId="0" borderId="0" xfId="0" applyNumberFormat="1" applyFont="1"/>
    <xf numFmtId="0" fontId="16" fillId="0" borderId="0" xfId="0" applyFont="1" applyAlignment="1">
      <alignment horizontal="right" vertical="center"/>
    </xf>
    <xf numFmtId="3" fontId="16" fillId="0" borderId="1" xfId="0" applyNumberFormat="1" applyFont="1" applyBorder="1"/>
    <xf numFmtId="9" fontId="16" fillId="0" borderId="1" xfId="0" applyNumberFormat="1" applyFont="1" applyBorder="1"/>
    <xf numFmtId="0" fontId="16" fillId="0" borderId="0" xfId="0" applyFont="1" applyAlignment="1">
      <alignment horizontal="center" vertical="center"/>
    </xf>
    <xf numFmtId="43" fontId="16" fillId="2" borderId="7" xfId="1" applyFont="1" applyFill="1" applyBorder="1"/>
    <xf numFmtId="0" fontId="16" fillId="0" borderId="0" xfId="0" applyFont="1" applyAlignment="1">
      <alignment horizontal="center"/>
    </xf>
    <xf numFmtId="3" fontId="16" fillId="2" borderId="7" xfId="0" applyNumberFormat="1" applyFont="1" applyFill="1" applyBorder="1"/>
    <xf numFmtId="0" fontId="16" fillId="2" borderId="7" xfId="0" applyFont="1" applyFill="1" applyBorder="1"/>
    <xf numFmtId="0" fontId="18" fillId="0" borderId="0" xfId="0" applyFont="1" applyAlignment="1">
      <alignment horizontal="right" vertical="center"/>
    </xf>
    <xf numFmtId="0" fontId="18" fillId="0" borderId="0" xfId="0" applyFont="1" applyAlignment="1">
      <alignment horizontal="right"/>
    </xf>
    <xf numFmtId="0" fontId="13" fillId="0" borderId="16" xfId="2" applyFont="1" applyBorder="1" applyAlignment="1">
      <alignment horizontal="left" vertical="top" wrapText="1"/>
    </xf>
    <xf numFmtId="0" fontId="13" fillId="0" borderId="0" xfId="2" applyFont="1" applyAlignment="1">
      <alignment horizontal="left" vertical="top" wrapText="1"/>
    </xf>
    <xf numFmtId="0" fontId="13" fillId="0" borderId="0" xfId="2" applyFont="1" applyAlignment="1">
      <alignment horizontal="left"/>
    </xf>
    <xf numFmtId="0" fontId="13" fillId="0" borderId="8" xfId="2" applyFont="1" applyBorder="1" applyAlignment="1">
      <alignment horizontal="center"/>
    </xf>
    <xf numFmtId="0" fontId="13" fillId="0" borderId="10" xfId="2" applyFont="1" applyBorder="1" applyAlignment="1">
      <alignment horizontal="center"/>
    </xf>
    <xf numFmtId="0" fontId="13" fillId="0" borderId="9" xfId="2" applyFont="1" applyBorder="1" applyAlignment="1">
      <alignment horizontal="center"/>
    </xf>
    <xf numFmtId="0" fontId="13" fillId="0" borderId="16" xfId="2" applyFont="1" applyBorder="1" applyAlignment="1">
      <alignment horizontal="center"/>
    </xf>
    <xf numFmtId="0" fontId="13" fillId="0" borderId="0" xfId="2" applyFont="1" applyAlignment="1">
      <alignment horizontal="center"/>
    </xf>
    <xf numFmtId="0" fontId="13" fillId="0" borderId="14" xfId="2" applyFont="1" applyBorder="1" applyAlignment="1">
      <alignment horizontal="center"/>
    </xf>
    <xf numFmtId="0" fontId="13" fillId="0" borderId="15" xfId="2" applyFont="1" applyBorder="1" applyAlignment="1">
      <alignment horizontal="center"/>
    </xf>
    <xf numFmtId="0" fontId="13" fillId="0" borderId="11" xfId="2" applyFont="1" applyBorder="1" applyAlignment="1">
      <alignment horizontal="center"/>
    </xf>
    <xf numFmtId="0" fontId="13" fillId="0" borderId="13" xfId="2" applyFont="1" applyBorder="1" applyAlignment="1">
      <alignment horizontal="center"/>
    </xf>
    <xf numFmtId="43" fontId="13" fillId="0" borderId="8" xfId="1" applyFont="1" applyBorder="1"/>
    <xf numFmtId="43" fontId="13" fillId="0" borderId="10" xfId="1" applyFont="1" applyBorder="1"/>
    <xf numFmtId="43" fontId="13" fillId="0" borderId="9" xfId="1" applyFont="1" applyBorder="1"/>
    <xf numFmtId="43" fontId="13" fillId="0" borderId="0" xfId="1" applyFont="1"/>
    <xf numFmtId="43" fontId="13" fillId="0" borderId="15" xfId="1" applyFont="1" applyBorder="1"/>
    <xf numFmtId="43" fontId="13" fillId="0" borderId="11" xfId="1" applyFont="1" applyBorder="1"/>
    <xf numFmtId="43" fontId="20" fillId="0" borderId="13" xfId="1" applyFont="1" applyBorder="1"/>
    <xf numFmtId="43" fontId="13" fillId="0" borderId="0" xfId="1" applyFont="1" applyAlignment="1">
      <alignment horizontal="left"/>
    </xf>
    <xf numFmtId="43" fontId="13" fillId="0" borderId="8" xfId="1" applyFont="1" applyBorder="1" applyAlignment="1">
      <alignment horizontal="center"/>
    </xf>
    <xf numFmtId="43" fontId="13" fillId="0" borderId="10" xfId="1" applyFont="1" applyBorder="1" applyAlignment="1">
      <alignment horizontal="center"/>
    </xf>
    <xf numFmtId="43" fontId="13" fillId="0" borderId="9" xfId="1" applyFont="1" applyBorder="1" applyAlignment="1">
      <alignment horizontal="center"/>
    </xf>
    <xf numFmtId="43" fontId="13" fillId="0" borderId="0" xfId="1" applyFont="1" applyAlignment="1">
      <alignment horizontal="center"/>
    </xf>
    <xf numFmtId="43" fontId="13" fillId="0" borderId="15" xfId="1" applyFont="1" applyBorder="1" applyAlignment="1">
      <alignment horizontal="center"/>
    </xf>
    <xf numFmtId="43" fontId="13" fillId="0" borderId="11" xfId="1" applyFont="1" applyBorder="1" applyAlignment="1">
      <alignment horizontal="center"/>
    </xf>
    <xf numFmtId="43" fontId="20" fillId="0" borderId="11" xfId="1" applyFont="1" applyBorder="1" applyAlignment="1">
      <alignment horizontal="center"/>
    </xf>
    <xf numFmtId="43" fontId="20" fillId="0" borderId="13" xfId="1" applyFont="1" applyBorder="1" applyAlignment="1">
      <alignment horizontal="center"/>
    </xf>
    <xf numFmtId="0" fontId="15" fillId="0" borderId="0" xfId="2" applyFont="1" applyAlignment="1">
      <alignment horizontal="left" vertical="top" wrapText="1"/>
    </xf>
    <xf numFmtId="0" fontId="13" fillId="2" borderId="8" xfId="2" applyFont="1" applyFill="1" applyBorder="1" applyAlignment="1">
      <alignment horizontal="center"/>
    </xf>
    <xf numFmtId="0" fontId="13" fillId="2" borderId="10" xfId="2" applyFont="1" applyFill="1" applyBorder="1" applyAlignment="1">
      <alignment horizontal="center"/>
    </xf>
    <xf numFmtId="0" fontId="13" fillId="2" borderId="9" xfId="2" applyFont="1" applyFill="1" applyBorder="1" applyAlignment="1">
      <alignment horizontal="center"/>
    </xf>
    <xf numFmtId="0" fontId="13" fillId="2" borderId="16" xfId="2" applyFont="1" applyFill="1" applyBorder="1" applyAlignment="1">
      <alignment horizontal="center"/>
    </xf>
    <xf numFmtId="0" fontId="13" fillId="2" borderId="14" xfId="2" applyFont="1" applyFill="1" applyBorder="1" applyAlignment="1">
      <alignment horizontal="center"/>
    </xf>
    <xf numFmtId="0" fontId="13" fillId="0" borderId="0" xfId="2" applyFont="1" applyAlignment="1">
      <alignment vertical="top"/>
    </xf>
    <xf numFmtId="0" fontId="13" fillId="2" borderId="15" xfId="2" applyFont="1" applyFill="1" applyBorder="1" applyAlignment="1">
      <alignment horizontal="center"/>
    </xf>
    <xf numFmtId="0" fontId="13" fillId="2" borderId="11" xfId="2" applyFont="1" applyFill="1" applyBorder="1" applyAlignment="1">
      <alignment horizontal="center"/>
    </xf>
    <xf numFmtId="0" fontId="13" fillId="2" borderId="13" xfId="2" applyFont="1" applyFill="1" applyBorder="1" applyAlignment="1">
      <alignment horizontal="center"/>
    </xf>
    <xf numFmtId="0" fontId="13" fillId="3" borderId="8" xfId="2" applyFont="1" applyFill="1" applyBorder="1" applyAlignment="1">
      <alignment horizontal="left" vertical="top"/>
    </xf>
    <xf numFmtId="0" fontId="13" fillId="3" borderId="10" xfId="2" applyFont="1" applyFill="1" applyBorder="1" applyAlignment="1">
      <alignment horizontal="left" vertical="top"/>
    </xf>
    <xf numFmtId="0" fontId="13" fillId="3" borderId="9" xfId="2" applyFont="1" applyFill="1" applyBorder="1" applyAlignment="1">
      <alignment horizontal="left" vertical="top"/>
    </xf>
    <xf numFmtId="0" fontId="13" fillId="3" borderId="16" xfId="2" applyFont="1" applyFill="1" applyBorder="1" applyAlignment="1">
      <alignment horizontal="left" vertical="top"/>
    </xf>
    <xf numFmtId="0" fontId="13" fillId="3" borderId="0" xfId="2" applyFont="1" applyFill="1" applyAlignment="1">
      <alignment horizontal="left" vertical="top"/>
    </xf>
    <xf numFmtId="0" fontId="13" fillId="3" borderId="14" xfId="2" applyFont="1" applyFill="1" applyBorder="1" applyAlignment="1">
      <alignment horizontal="left" vertical="top"/>
    </xf>
    <xf numFmtId="0" fontId="13" fillId="3" borderId="15" xfId="2" applyFont="1" applyFill="1" applyBorder="1" applyAlignment="1">
      <alignment horizontal="left" vertical="top"/>
    </xf>
    <xf numFmtId="0" fontId="13" fillId="3" borderId="11" xfId="2" applyFont="1" applyFill="1" applyBorder="1" applyAlignment="1">
      <alignment horizontal="left" vertical="top"/>
    </xf>
    <xf numFmtId="0" fontId="13" fillId="3" borderId="13" xfId="2" applyFont="1" applyFill="1" applyBorder="1" applyAlignment="1">
      <alignment horizontal="left" vertical="top"/>
    </xf>
    <xf numFmtId="0" fontId="13" fillId="0" borderId="0" xfId="2" applyFont="1" applyAlignment="1">
      <alignment horizontal="left" vertical="top"/>
    </xf>
    <xf numFmtId="0" fontId="15" fillId="0" borderId="0" xfId="2" applyFont="1" applyAlignment="1">
      <alignment horizontal="center"/>
    </xf>
    <xf numFmtId="0" fontId="13" fillId="0" borderId="0" xfId="2" applyFont="1" applyAlignment="1">
      <alignment horizontal="center"/>
    </xf>
    <xf numFmtId="49" fontId="13" fillId="0" borderId="0" xfId="2" applyNumberFormat="1" applyFont="1" applyAlignment="1">
      <alignment horizontal="center"/>
    </xf>
    <xf numFmtId="164" fontId="13" fillId="0" borderId="0" xfId="2" applyNumberFormat="1" applyFont="1" applyAlignment="1">
      <alignment horizontal="center"/>
    </xf>
    <xf numFmtId="0" fontId="20" fillId="0" borderId="0" xfId="2" applyFont="1"/>
  </cellXfs>
  <cellStyles count="10">
    <cellStyle name="Comma" xfId="1" builtinId="3"/>
    <cellStyle name="Comma 2" xfId="7" xr:uid="{479095AC-DA30-4A04-B4B5-0DAC9646D5F3}"/>
    <cellStyle name="Currency 2" xfId="8" xr:uid="{7D502284-633A-4D19-BC47-9B22D316E1C9}"/>
    <cellStyle name="Hyperlink" xfId="9" builtinId="8"/>
    <cellStyle name="Normal" xfId="0" builtinId="0"/>
    <cellStyle name="Normal 2" xfId="2" xr:uid="{1CC3CCD1-D6D4-4CEA-B4A4-BADDB5B35EE8}"/>
    <cellStyle name="Normal 3" xfId="3" xr:uid="{0CB9D59F-D5F5-44C7-B33E-19C7B06BE748}"/>
    <cellStyle name="Normal 4" xfId="5" xr:uid="{0CBC50FE-FC3E-48D8-99E9-3CB5AD7B3AAC}"/>
    <cellStyle name="Percent 2" xfId="4" xr:uid="{1F496699-15B0-4F1A-91DC-CB8151285832}"/>
    <cellStyle name="Percent 3" xfId="6" xr:uid="{C00ADBC5-F48C-45E5-84D9-12F6802EFA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190501</xdr:colOff>
      <xdr:row>0</xdr:row>
      <xdr:rowOff>171451</xdr:rowOff>
    </xdr:from>
    <xdr:ext cx="1521069" cy="517420"/>
    <xdr:pic>
      <xdr:nvPicPr>
        <xdr:cNvPr id="2" name="Picture 1">
          <a:extLst>
            <a:ext uri="{FF2B5EF4-FFF2-40B4-BE49-F238E27FC236}">
              <a16:creationId xmlns:a16="http://schemas.microsoft.com/office/drawing/2014/main" id="{9662BC0C-82A7-4316-BF3E-DFCE34B0E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1069" cy="517420"/>
        </a:xfrm>
        <a:prstGeom prst="rect">
          <a:avLst/>
        </a:prstGeom>
      </xdr:spPr>
    </xdr:pic>
    <xdr:clientData/>
  </xdr:one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1EFC5EDA-EB69-490F-B021-D6A912C0DE2D}"/>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59EA7F55-1ABC-4D43-B82C-B1DE8A37631A}"/>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21</xdr:row>
      <xdr:rowOff>204786</xdr:rowOff>
    </xdr:from>
    <xdr:to>
      <xdr:col>1</xdr:col>
      <xdr:colOff>1600200</xdr:colOff>
      <xdr:row>22</xdr:row>
      <xdr:rowOff>152399</xdr:rowOff>
    </xdr:to>
    <xdr:pic>
      <xdr:nvPicPr>
        <xdr:cNvPr id="2" name="Picture 1">
          <a:extLst>
            <a:ext uri="{FF2B5EF4-FFF2-40B4-BE49-F238E27FC236}">
              <a16:creationId xmlns:a16="http://schemas.microsoft.com/office/drawing/2014/main" id="{775FC1EE-C19A-4666-99D0-CC6AAE8FD20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6270" y="3618546"/>
          <a:ext cx="582930" cy="153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76201</xdr:colOff>
      <xdr:row>21</xdr:row>
      <xdr:rowOff>201784</xdr:rowOff>
    </xdr:from>
    <xdr:to>
      <xdr:col>3</xdr:col>
      <xdr:colOff>1</xdr:colOff>
      <xdr:row>22</xdr:row>
      <xdr:rowOff>152400</xdr:rowOff>
    </xdr:to>
    <xdr:pic>
      <xdr:nvPicPr>
        <xdr:cNvPr id="3" name="Picture 2">
          <a:extLst>
            <a:ext uri="{FF2B5EF4-FFF2-40B4-BE49-F238E27FC236}">
              <a16:creationId xmlns:a16="http://schemas.microsoft.com/office/drawing/2014/main" id="{A074F400-BB95-4EDA-A403-1F6604AF192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95401" y="3623164"/>
          <a:ext cx="533400" cy="1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35</xdr:row>
      <xdr:rowOff>1</xdr:rowOff>
    </xdr:from>
    <xdr:to>
      <xdr:col>1</xdr:col>
      <xdr:colOff>1628775</xdr:colOff>
      <xdr:row>35</xdr:row>
      <xdr:rowOff>152401</xdr:rowOff>
    </xdr:to>
    <xdr:pic>
      <xdr:nvPicPr>
        <xdr:cNvPr id="4" name="Picture 3">
          <a:extLst>
            <a:ext uri="{FF2B5EF4-FFF2-40B4-BE49-F238E27FC236}">
              <a16:creationId xmlns:a16="http://schemas.microsoft.com/office/drawing/2014/main" id="{19F91496-53B3-4E50-AB7B-31CB59302BD7}"/>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1040" y="5972176"/>
          <a:ext cx="51625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85726</xdr:colOff>
      <xdr:row>34</xdr:row>
      <xdr:rowOff>200025</xdr:rowOff>
    </xdr:from>
    <xdr:to>
      <xdr:col>2</xdr:col>
      <xdr:colOff>1304926</xdr:colOff>
      <xdr:row>35</xdr:row>
      <xdr:rowOff>152400</xdr:rowOff>
    </xdr:to>
    <xdr:pic>
      <xdr:nvPicPr>
        <xdr:cNvPr id="5" name="Picture 4">
          <a:extLst>
            <a:ext uri="{FF2B5EF4-FFF2-40B4-BE49-F238E27FC236}">
              <a16:creationId xmlns:a16="http://schemas.microsoft.com/office/drawing/2014/main" id="{EE4246CC-3840-408D-9E32-3573BEC33989}"/>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6831" y="5974080"/>
          <a:ext cx="523875" cy="150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ILA101%20Guided%20Examples%202025-2026.xlsx" TargetMode="External"/><Relationship Id="rId1" Type="http://schemas.openxmlformats.org/officeDocument/2006/relationships/externalLinkPath" Target="ILA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Q ILA101-101-25 1a 1b"/>
      <sheetName val="A ILA101-101-25 1a 1b"/>
      <sheetName val="Q ILA101-102-25 1c"/>
      <sheetName val="A ILA101-102-25 1c"/>
      <sheetName val="Q Table Development 2d"/>
      <sheetName val="A Table Development 2d"/>
      <sheetName val="Q ILA101-106-25 2a"/>
      <sheetName val="A ILA101-106-25 2a"/>
      <sheetName val="Q US GAAP Ch 1 4b"/>
      <sheetName val="A US GAAP Ch 1 4b"/>
      <sheetName val="Q ILA101-113-25 5b"/>
      <sheetName val="A ILA101-113-25 5b"/>
      <sheetName val="Q RILA 1a 1b"/>
      <sheetName val="A RILA 1a 1b"/>
      <sheetName val="Q Experience Study 2e"/>
      <sheetName val="A Experience Study 2e"/>
      <sheetName val="Q Tiller Ch 4 5e"/>
      <sheetName val="A Tiller Ch 4 5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F93E-1530-4FBC-BD87-720B2F3132DE}">
  <sheetPr>
    <tabColor rgb="FF0070C0"/>
    <pageSetUpPr autoPageBreaks="0"/>
  </sheetPr>
  <dimension ref="A6:K22"/>
  <sheetViews>
    <sheetView showGridLines="0" tabSelected="1" zoomScale="115" zoomScaleNormal="115" workbookViewId="0"/>
  </sheetViews>
  <sheetFormatPr defaultRowHeight="14.4"/>
  <sheetData>
    <row r="6" spans="1:10" ht="33.6">
      <c r="A6" s="1" t="s">
        <v>162</v>
      </c>
      <c r="B6" s="1"/>
      <c r="C6" s="1"/>
      <c r="D6" s="1"/>
      <c r="E6" s="1"/>
      <c r="F6" s="1"/>
      <c r="G6" s="1"/>
      <c r="H6" s="1"/>
      <c r="I6" s="1"/>
      <c r="J6" s="1"/>
    </row>
    <row r="7" spans="1:10" ht="6" customHeight="1">
      <c r="A7" s="2"/>
      <c r="B7" s="2"/>
      <c r="C7" s="2"/>
      <c r="D7" s="2"/>
      <c r="E7" s="2"/>
      <c r="F7" s="2"/>
      <c r="G7" s="2"/>
      <c r="H7" s="2"/>
      <c r="I7" s="2"/>
      <c r="J7" s="2"/>
    </row>
    <row r="8" spans="1:10" ht="21">
      <c r="A8" s="3" t="s">
        <v>173</v>
      </c>
      <c r="B8" s="3"/>
      <c r="C8" s="3"/>
      <c r="D8" s="3"/>
      <c r="E8" s="3"/>
      <c r="F8" s="3"/>
      <c r="G8" s="3"/>
      <c r="H8" s="3"/>
      <c r="I8" s="3"/>
      <c r="J8" s="3"/>
    </row>
    <row r="10" spans="1:10" ht="75" customHeight="1">
      <c r="A10" s="4" t="s">
        <v>163</v>
      </c>
      <c r="B10" s="5" t="s">
        <v>164</v>
      </c>
      <c r="C10" s="5"/>
      <c r="D10" s="5"/>
      <c r="E10" s="5"/>
      <c r="F10" s="5"/>
      <c r="G10" s="5"/>
      <c r="H10" s="5"/>
      <c r="I10" s="5"/>
      <c r="J10" s="5"/>
    </row>
    <row r="11" spans="1:10">
      <c r="B11" s="6"/>
      <c r="C11" s="6"/>
      <c r="D11" s="6"/>
      <c r="E11" s="6"/>
      <c r="F11" s="6"/>
      <c r="G11" s="6"/>
      <c r="H11" s="6"/>
      <c r="I11" s="6"/>
      <c r="J11" s="6"/>
    </row>
    <row r="12" spans="1:10" ht="45" customHeight="1">
      <c r="A12" s="4" t="s">
        <v>163</v>
      </c>
      <c r="B12" s="5" t="s">
        <v>165</v>
      </c>
      <c r="C12" s="5"/>
      <c r="D12" s="5"/>
      <c r="E12" s="5"/>
      <c r="F12" s="5"/>
      <c r="G12" s="5"/>
      <c r="H12" s="5"/>
      <c r="I12" s="5"/>
      <c r="J12" s="5"/>
    </row>
    <row r="13" spans="1:10">
      <c r="B13" s="6"/>
      <c r="C13" s="6"/>
      <c r="D13" s="6"/>
      <c r="E13" s="6"/>
      <c r="F13" s="6"/>
      <c r="G13" s="6"/>
      <c r="H13" s="6"/>
      <c r="I13" s="6"/>
      <c r="J13" s="6"/>
    </row>
    <row r="14" spans="1:10" ht="30" customHeight="1">
      <c r="A14" s="4" t="s">
        <v>163</v>
      </c>
      <c r="B14" s="5" t="s">
        <v>166</v>
      </c>
      <c r="C14" s="5"/>
      <c r="D14" s="5"/>
      <c r="E14" s="5"/>
      <c r="F14" s="5"/>
      <c r="G14" s="5"/>
      <c r="H14" s="5"/>
      <c r="I14" s="5"/>
      <c r="J14" s="5"/>
    </row>
    <row r="15" spans="1:10">
      <c r="B15" s="6"/>
      <c r="C15" s="6"/>
      <c r="D15" s="6"/>
      <c r="E15" s="6"/>
      <c r="F15" s="6"/>
      <c r="G15" s="6"/>
      <c r="H15" s="6"/>
      <c r="I15" s="6"/>
      <c r="J15" s="6"/>
    </row>
    <row r="16" spans="1:10" ht="42.6" customHeight="1">
      <c r="A16" s="4" t="s">
        <v>163</v>
      </c>
      <c r="B16" s="5" t="s">
        <v>167</v>
      </c>
      <c r="C16" s="5"/>
      <c r="D16" s="5"/>
      <c r="E16" s="5"/>
      <c r="F16" s="5"/>
      <c r="G16" s="5"/>
      <c r="H16" s="5"/>
      <c r="I16" s="5"/>
      <c r="J16" s="5"/>
    </row>
    <row r="17" spans="1:11">
      <c r="B17" s="6"/>
      <c r="C17" s="6"/>
      <c r="D17" s="6"/>
      <c r="E17" s="6"/>
      <c r="F17" s="6"/>
      <c r="G17" s="6"/>
      <c r="H17" s="6"/>
      <c r="I17" s="6"/>
      <c r="J17" s="6"/>
      <c r="K17" s="7"/>
    </row>
    <row r="18" spans="1:11" ht="74.400000000000006" customHeight="1">
      <c r="A18" s="4" t="s">
        <v>163</v>
      </c>
      <c r="B18" s="5" t="s">
        <v>168</v>
      </c>
      <c r="C18" s="5"/>
      <c r="D18" s="5"/>
      <c r="E18" s="5"/>
      <c r="F18" s="5"/>
      <c r="G18" s="5"/>
      <c r="H18" s="5"/>
      <c r="I18" s="5"/>
      <c r="J18" s="5"/>
    </row>
    <row r="19" spans="1:11">
      <c r="B19" s="8" t="s">
        <v>169</v>
      </c>
      <c r="C19" s="9"/>
      <c r="D19" s="9"/>
      <c r="E19" s="9"/>
      <c r="F19" s="9"/>
      <c r="G19" s="9"/>
      <c r="H19" s="9"/>
      <c r="I19" s="9"/>
      <c r="J19" s="9"/>
    </row>
    <row r="22" spans="1:11">
      <c r="B22" s="10" t="s">
        <v>170</v>
      </c>
      <c r="C22" s="10"/>
      <c r="D22" s="11" t="s">
        <v>171</v>
      </c>
      <c r="E22" s="11"/>
      <c r="F22" s="11"/>
      <c r="G22" s="11"/>
      <c r="H22" s="12" t="s">
        <v>172</v>
      </c>
      <c r="I22" s="12"/>
      <c r="J22" s="12"/>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CDBF7C5F-6EC7-45C0-B488-B0FB9C8B745F}"/>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B70B-E39B-4BA9-9BE0-2B2F43C7EE28}">
  <sheetPr>
    <tabColor theme="5" tint="0.39997558519241921"/>
  </sheetPr>
  <dimension ref="A1:G22"/>
  <sheetViews>
    <sheetView zoomScaleNormal="100" workbookViewId="0"/>
  </sheetViews>
  <sheetFormatPr defaultColWidth="8.88671875" defaultRowHeight="14.4"/>
  <cols>
    <col min="1" max="16384" width="8.88671875" style="13"/>
  </cols>
  <sheetData>
    <row r="1" spans="1:7">
      <c r="A1" s="21" t="s">
        <v>200</v>
      </c>
    </row>
    <row r="3" spans="1:7">
      <c r="A3" s="14" t="s">
        <v>1</v>
      </c>
    </row>
    <row r="4" spans="1:7">
      <c r="A4" s="13" t="s">
        <v>138</v>
      </c>
    </row>
    <row r="6" spans="1:7">
      <c r="A6" s="15" t="s">
        <v>141</v>
      </c>
      <c r="B6" s="15"/>
      <c r="C6" s="15"/>
      <c r="D6" s="15"/>
      <c r="E6" s="15"/>
      <c r="F6" s="15"/>
      <c r="G6" s="15"/>
    </row>
    <row r="7" spans="1:7">
      <c r="A7" s="16" t="s">
        <v>140</v>
      </c>
      <c r="B7" s="16"/>
      <c r="C7" s="16"/>
      <c r="D7" s="16"/>
      <c r="E7" s="16"/>
      <c r="F7" s="16"/>
      <c r="G7" s="16"/>
    </row>
    <row r="8" spans="1:7">
      <c r="A8" s="16"/>
      <c r="B8" s="16"/>
      <c r="C8" s="16"/>
      <c r="D8" s="16"/>
      <c r="E8" s="16"/>
      <c r="F8" s="16"/>
      <c r="G8" s="16"/>
    </row>
    <row r="9" spans="1:7">
      <c r="A9" s="16"/>
      <c r="B9" s="16"/>
      <c r="C9" s="16"/>
      <c r="D9" s="16"/>
      <c r="E9" s="16"/>
      <c r="F9" s="16"/>
      <c r="G9" s="16"/>
    </row>
    <row r="10" spans="1:7">
      <c r="A10" s="16"/>
      <c r="B10" s="16"/>
      <c r="C10" s="16"/>
      <c r="D10" s="16"/>
      <c r="E10" s="16"/>
      <c r="F10" s="16"/>
      <c r="G10" s="16"/>
    </row>
    <row r="11" spans="1:7">
      <c r="A11" s="16"/>
      <c r="B11" s="16"/>
      <c r="C11" s="16"/>
      <c r="D11" s="16"/>
      <c r="E11" s="16"/>
      <c r="F11" s="16"/>
      <c r="G11" s="16"/>
    </row>
    <row r="12" spans="1:7">
      <c r="A12" s="16"/>
      <c r="B12" s="16"/>
      <c r="C12" s="16"/>
      <c r="D12" s="16"/>
      <c r="E12" s="16"/>
      <c r="F12" s="16"/>
      <c r="G12" s="16"/>
    </row>
    <row r="14" spans="1:7">
      <c r="A14" s="17" t="s">
        <v>115</v>
      </c>
      <c r="B14" s="17"/>
      <c r="C14" s="17"/>
    </row>
    <row r="15" spans="1:7">
      <c r="A15" s="18"/>
      <c r="B15" s="19" t="s">
        <v>139</v>
      </c>
      <c r="C15" s="19"/>
      <c r="D15" s="19"/>
      <c r="E15" s="19"/>
      <c r="F15" s="19"/>
      <c r="G15" s="19"/>
    </row>
    <row r="16" spans="1:7">
      <c r="A16" s="20"/>
      <c r="B16" s="20" t="s">
        <v>113</v>
      </c>
      <c r="C16" s="20" t="s">
        <v>112</v>
      </c>
      <c r="D16" s="20" t="s">
        <v>111</v>
      </c>
      <c r="E16" s="20" t="s">
        <v>110</v>
      </c>
      <c r="F16" s="20" t="s">
        <v>109</v>
      </c>
      <c r="G16" s="20" t="s">
        <v>108</v>
      </c>
    </row>
    <row r="17" spans="1:7">
      <c r="A17" s="20" t="s">
        <v>107</v>
      </c>
      <c r="B17" s="20">
        <v>192</v>
      </c>
      <c r="C17" s="20">
        <v>251</v>
      </c>
      <c r="D17" s="20">
        <v>153</v>
      </c>
      <c r="E17" s="20">
        <v>145</v>
      </c>
      <c r="F17" s="20">
        <v>98</v>
      </c>
      <c r="G17" s="20">
        <v>0</v>
      </c>
    </row>
    <row r="18" spans="1:7">
      <c r="A18" s="20" t="s">
        <v>106</v>
      </c>
      <c r="B18" s="20">
        <v>205</v>
      </c>
      <c r="C18" s="20">
        <v>280</v>
      </c>
      <c r="D18" s="20">
        <v>195</v>
      </c>
      <c r="E18" s="20">
        <v>150</v>
      </c>
      <c r="F18" s="20">
        <v>102</v>
      </c>
      <c r="G18" s="20"/>
    </row>
    <row r="19" spans="1:7">
      <c r="A19" s="20" t="s">
        <v>105</v>
      </c>
      <c r="B19" s="20">
        <v>230</v>
      </c>
      <c r="C19" s="20">
        <v>345</v>
      </c>
      <c r="D19" s="20">
        <v>230</v>
      </c>
      <c r="E19" s="20">
        <v>212</v>
      </c>
      <c r="F19" s="20"/>
      <c r="G19" s="20"/>
    </row>
    <row r="20" spans="1:7">
      <c r="A20" s="20" t="s">
        <v>104</v>
      </c>
      <c r="B20" s="20">
        <v>288</v>
      </c>
      <c r="C20" s="20">
        <v>410</v>
      </c>
      <c r="D20" s="20">
        <v>275</v>
      </c>
      <c r="E20" s="20"/>
      <c r="F20" s="20"/>
      <c r="G20" s="20"/>
    </row>
    <row r="21" spans="1:7">
      <c r="A21" s="20" t="s">
        <v>103</v>
      </c>
      <c r="B21" s="20">
        <v>398</v>
      </c>
      <c r="C21" s="20">
        <v>563</v>
      </c>
      <c r="D21" s="20"/>
      <c r="E21" s="20"/>
      <c r="F21" s="20"/>
      <c r="G21" s="20"/>
    </row>
    <row r="22" spans="1:7">
      <c r="A22" s="20" t="s">
        <v>102</v>
      </c>
      <c r="B22" s="20">
        <v>530</v>
      </c>
      <c r="C22" s="20"/>
      <c r="D22" s="20"/>
      <c r="E22" s="20"/>
      <c r="F22" s="20"/>
      <c r="G22" s="20"/>
    </row>
  </sheetData>
  <mergeCells count="4">
    <mergeCell ref="A6:G6"/>
    <mergeCell ref="A7:G12"/>
    <mergeCell ref="B15:G15"/>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A7B0-4B7D-4B79-910E-F11A22B85B93}">
  <sheetPr>
    <tabColor theme="9" tint="0.59999389629810485"/>
  </sheetPr>
  <dimension ref="A1:I65"/>
  <sheetViews>
    <sheetView zoomScaleNormal="100" workbookViewId="0"/>
  </sheetViews>
  <sheetFormatPr defaultColWidth="8.88671875" defaultRowHeight="14.4"/>
  <cols>
    <col min="1" max="3" width="8.88671875" style="13"/>
    <col min="4" max="4" width="10.33203125" style="13" customWidth="1"/>
    <col min="5" max="6" width="8.88671875" style="13"/>
    <col min="7" max="7" width="11" style="13" customWidth="1"/>
    <col min="8" max="16384" width="8.88671875" style="13"/>
  </cols>
  <sheetData>
    <row r="1" spans="1:7">
      <c r="A1" s="21" t="s">
        <v>200</v>
      </c>
    </row>
    <row r="3" spans="1:7">
      <c r="A3" s="14" t="s">
        <v>1</v>
      </c>
    </row>
    <row r="4" spans="1:7">
      <c r="A4" s="13" t="s">
        <v>138</v>
      </c>
    </row>
    <row r="6" spans="1:7">
      <c r="A6" s="124" t="s">
        <v>160</v>
      </c>
      <c r="B6" s="124"/>
      <c r="C6" s="124"/>
      <c r="D6" s="124"/>
      <c r="E6" s="124"/>
      <c r="F6" s="124"/>
      <c r="G6" s="124"/>
    </row>
    <row r="7" spans="1:7">
      <c r="A7" s="125"/>
      <c r="B7" s="125"/>
      <c r="C7" s="125"/>
      <c r="D7" s="125"/>
      <c r="E7" s="125"/>
      <c r="F7" s="125"/>
      <c r="G7" s="125"/>
    </row>
    <row r="8" spans="1:7">
      <c r="A8" s="126" t="s">
        <v>115</v>
      </c>
      <c r="B8" s="126"/>
      <c r="C8" s="126"/>
    </row>
    <row r="9" spans="1:7">
      <c r="B9" s="126" t="s">
        <v>139</v>
      </c>
      <c r="C9" s="126"/>
      <c r="D9" s="126"/>
      <c r="E9" s="126"/>
      <c r="F9" s="126"/>
      <c r="G9" s="126"/>
    </row>
    <row r="10" spans="1:7">
      <c r="A10" s="84"/>
      <c r="B10" s="84" t="s">
        <v>113</v>
      </c>
      <c r="C10" s="84" t="s">
        <v>112</v>
      </c>
      <c r="D10" s="84" t="s">
        <v>111</v>
      </c>
      <c r="E10" s="84" t="s">
        <v>110</v>
      </c>
      <c r="F10" s="84" t="s">
        <v>109</v>
      </c>
      <c r="G10" s="84" t="s">
        <v>108</v>
      </c>
    </row>
    <row r="11" spans="1:7">
      <c r="A11" s="84" t="s">
        <v>107</v>
      </c>
      <c r="B11" s="84">
        <v>192</v>
      </c>
      <c r="C11" s="84">
        <v>251</v>
      </c>
      <c r="D11" s="84">
        <v>153</v>
      </c>
      <c r="E11" s="84">
        <v>145</v>
      </c>
      <c r="F11" s="84">
        <v>98</v>
      </c>
      <c r="G11" s="84">
        <v>0</v>
      </c>
    </row>
    <row r="12" spans="1:7">
      <c r="A12" s="84" t="s">
        <v>106</v>
      </c>
      <c r="B12" s="84">
        <v>205</v>
      </c>
      <c r="C12" s="84">
        <v>280</v>
      </c>
      <c r="D12" s="84">
        <v>195</v>
      </c>
      <c r="E12" s="84">
        <v>150</v>
      </c>
      <c r="F12" s="84">
        <v>102</v>
      </c>
      <c r="G12" s="84"/>
    </row>
    <row r="13" spans="1:7">
      <c r="A13" s="84" t="s">
        <v>105</v>
      </c>
      <c r="B13" s="84">
        <v>230</v>
      </c>
      <c r="C13" s="84">
        <v>345</v>
      </c>
      <c r="D13" s="84">
        <v>230</v>
      </c>
      <c r="E13" s="84">
        <v>212</v>
      </c>
      <c r="F13" s="84"/>
      <c r="G13" s="84"/>
    </row>
    <row r="14" spans="1:7">
      <c r="A14" s="84" t="s">
        <v>104</v>
      </c>
      <c r="B14" s="84">
        <v>288</v>
      </c>
      <c r="C14" s="84">
        <v>410</v>
      </c>
      <c r="D14" s="84">
        <v>275</v>
      </c>
      <c r="E14" s="84"/>
      <c r="F14" s="84"/>
      <c r="G14" s="84"/>
    </row>
    <row r="15" spans="1:7">
      <c r="A15" s="84" t="s">
        <v>103</v>
      </c>
      <c r="B15" s="84">
        <v>398</v>
      </c>
      <c r="C15" s="84">
        <v>563</v>
      </c>
      <c r="D15" s="84"/>
      <c r="E15" s="84"/>
      <c r="F15" s="84"/>
      <c r="G15" s="84"/>
    </row>
    <row r="16" spans="1:7">
      <c r="A16" s="84" t="s">
        <v>102</v>
      </c>
      <c r="B16" s="84">
        <v>530</v>
      </c>
      <c r="C16" s="84"/>
      <c r="D16" s="84"/>
      <c r="E16" s="84"/>
      <c r="F16" s="84"/>
      <c r="G16" s="84"/>
    </row>
    <row r="18" spans="1:7">
      <c r="A18" s="126" t="s">
        <v>159</v>
      </c>
      <c r="B18" s="126"/>
      <c r="C18" s="126"/>
    </row>
    <row r="19" spans="1:7">
      <c r="B19" s="126" t="s">
        <v>114</v>
      </c>
      <c r="C19" s="126"/>
      <c r="D19" s="126"/>
      <c r="E19" s="126"/>
      <c r="F19" s="126"/>
      <c r="G19" s="126"/>
    </row>
    <row r="20" spans="1:7">
      <c r="A20" s="84"/>
      <c r="B20" s="84" t="s">
        <v>113</v>
      </c>
      <c r="C20" s="84" t="s">
        <v>112</v>
      </c>
      <c r="D20" s="84" t="s">
        <v>111</v>
      </c>
      <c r="E20" s="84" t="s">
        <v>110</v>
      </c>
      <c r="F20" s="84" t="s">
        <v>109</v>
      </c>
      <c r="G20" s="84" t="s">
        <v>108</v>
      </c>
    </row>
    <row r="21" spans="1:7">
      <c r="A21" s="84" t="s">
        <v>107</v>
      </c>
      <c r="B21" s="84">
        <v>192</v>
      </c>
      <c r="C21" s="84">
        <f>B11+C11</f>
        <v>443</v>
      </c>
      <c r="D21" s="84">
        <f>SUM(B11:D11)</f>
        <v>596</v>
      </c>
      <c r="E21" s="84">
        <f>SUM(B11:E11)</f>
        <v>741</v>
      </c>
      <c r="F21" s="84">
        <f>SUM(B11:F11)</f>
        <v>839</v>
      </c>
      <c r="G21" s="84">
        <f>SUM(B11:G11)</f>
        <v>839</v>
      </c>
    </row>
    <row r="22" spans="1:7">
      <c r="A22" s="84" t="s">
        <v>106</v>
      </c>
      <c r="B22" s="84">
        <v>205</v>
      </c>
      <c r="C22" s="84">
        <f>B12+C12</f>
        <v>485</v>
      </c>
      <c r="D22" s="84">
        <f>SUM(B12:D12)</f>
        <v>680</v>
      </c>
      <c r="E22" s="84">
        <f>SUM(B12:E12)</f>
        <v>830</v>
      </c>
      <c r="F22" s="84">
        <f>SUM(B12:F12)</f>
        <v>932</v>
      </c>
      <c r="G22" s="84"/>
    </row>
    <row r="23" spans="1:7">
      <c r="A23" s="84" t="s">
        <v>105</v>
      </c>
      <c r="B23" s="84">
        <v>230</v>
      </c>
      <c r="C23" s="84">
        <f>B13+C13</f>
        <v>575</v>
      </c>
      <c r="D23" s="84">
        <f>SUM(B13:D13)</f>
        <v>805</v>
      </c>
      <c r="E23" s="84">
        <f>SUM(B13:E13)</f>
        <v>1017</v>
      </c>
      <c r="F23" s="84"/>
      <c r="G23" s="84"/>
    </row>
    <row r="24" spans="1:7">
      <c r="A24" s="84" t="s">
        <v>104</v>
      </c>
      <c r="B24" s="84">
        <v>288</v>
      </c>
      <c r="C24" s="84">
        <f>B14+C14</f>
        <v>698</v>
      </c>
      <c r="D24" s="84">
        <f>SUM(B14:D14)</f>
        <v>973</v>
      </c>
      <c r="E24" s="84"/>
      <c r="F24" s="84"/>
      <c r="G24" s="84"/>
    </row>
    <row r="25" spans="1:7">
      <c r="A25" s="84" t="s">
        <v>103</v>
      </c>
      <c r="B25" s="84">
        <v>398</v>
      </c>
      <c r="C25" s="84">
        <f>B15+C15</f>
        <v>961</v>
      </c>
      <c r="D25" s="84"/>
      <c r="E25" s="84"/>
      <c r="F25" s="84"/>
      <c r="G25" s="84"/>
    </row>
    <row r="26" spans="1:7">
      <c r="A26" s="84" t="s">
        <v>102</v>
      </c>
      <c r="B26" s="84">
        <v>530</v>
      </c>
      <c r="C26" s="84"/>
      <c r="D26" s="84"/>
      <c r="E26" s="84"/>
      <c r="F26" s="84"/>
      <c r="G26" s="84"/>
    </row>
    <row r="28" spans="1:7">
      <c r="A28" s="126" t="s">
        <v>158</v>
      </c>
      <c r="B28" s="126"/>
      <c r="C28" s="126"/>
    </row>
    <row r="29" spans="1:7">
      <c r="B29" s="126" t="s">
        <v>157</v>
      </c>
      <c r="C29" s="126"/>
      <c r="D29" s="126"/>
      <c r="E29" s="126"/>
      <c r="F29" s="126"/>
      <c r="G29" s="126"/>
    </row>
    <row r="30" spans="1:7">
      <c r="A30" s="84"/>
      <c r="B30" s="127" t="s">
        <v>156</v>
      </c>
      <c r="C30" s="127" t="s">
        <v>155</v>
      </c>
      <c r="D30" s="127" t="s">
        <v>154</v>
      </c>
      <c r="E30" s="127" t="s">
        <v>153</v>
      </c>
      <c r="F30" s="127" t="s">
        <v>152</v>
      </c>
      <c r="G30" s="84"/>
    </row>
    <row r="31" spans="1:7">
      <c r="A31" s="84" t="s">
        <v>107</v>
      </c>
      <c r="B31" s="128">
        <f>C21/B21</f>
        <v>2.3072916666666665</v>
      </c>
      <c r="C31" s="128">
        <f>D21/C21</f>
        <v>1.345372460496614</v>
      </c>
      <c r="D31" s="128">
        <f>E21/D21</f>
        <v>1.2432885906040267</v>
      </c>
      <c r="E31" s="128">
        <f>F21/E21</f>
        <v>1.1322537112010795</v>
      </c>
      <c r="F31" s="128">
        <f>G21/F21</f>
        <v>1</v>
      </c>
      <c r="G31" s="84"/>
    </row>
    <row r="32" spans="1:7">
      <c r="A32" s="84" t="s">
        <v>106</v>
      </c>
      <c r="B32" s="128">
        <f>C22/B22</f>
        <v>2.3658536585365852</v>
      </c>
      <c r="C32" s="128">
        <f>D22/C22</f>
        <v>1.402061855670103</v>
      </c>
      <c r="D32" s="128">
        <f>E22/D22</f>
        <v>1.2205882352941178</v>
      </c>
      <c r="E32" s="128">
        <f>F22/E22</f>
        <v>1.1228915662650603</v>
      </c>
      <c r="F32" s="128"/>
      <c r="G32" s="84"/>
    </row>
    <row r="33" spans="1:7">
      <c r="A33" s="84" t="s">
        <v>105</v>
      </c>
      <c r="B33" s="128">
        <f>C23/B23</f>
        <v>2.5</v>
      </c>
      <c r="C33" s="128">
        <f>D23/C23</f>
        <v>1.4</v>
      </c>
      <c r="D33" s="128">
        <f>E23/D23</f>
        <v>1.2633540372670808</v>
      </c>
      <c r="E33" s="128"/>
      <c r="F33" s="128"/>
      <c r="G33" s="84"/>
    </row>
    <row r="34" spans="1:7">
      <c r="A34" s="84" t="s">
        <v>104</v>
      </c>
      <c r="B34" s="128">
        <f>C24/B24</f>
        <v>2.4236111111111112</v>
      </c>
      <c r="C34" s="128">
        <f>D24/C24</f>
        <v>1.3939828080229226</v>
      </c>
      <c r="D34" s="128"/>
      <c r="E34" s="128"/>
      <c r="F34" s="128"/>
      <c r="G34" s="84"/>
    </row>
    <row r="35" spans="1:7">
      <c r="A35" s="84" t="s">
        <v>103</v>
      </c>
      <c r="B35" s="128">
        <f>C25/B25</f>
        <v>2.4145728643216082</v>
      </c>
      <c r="C35" s="128"/>
      <c r="D35" s="128"/>
      <c r="E35" s="128"/>
      <c r="F35" s="128"/>
      <c r="G35" s="84"/>
    </row>
    <row r="36" spans="1:7">
      <c r="A36" s="84" t="s">
        <v>151</v>
      </c>
      <c r="B36" s="128">
        <f>AVERAGE(B31:B35)</f>
        <v>2.4022658601271942</v>
      </c>
      <c r="C36" s="128">
        <f>AVERAGE(C31:C34)</f>
        <v>1.3853542810474098</v>
      </c>
      <c r="D36" s="128">
        <f>AVERAGE(D31:D33)</f>
        <v>1.2424102877217418</v>
      </c>
      <c r="E36" s="128">
        <f>AVERAGE(E31:E32)</f>
        <v>1.1275726387330698</v>
      </c>
      <c r="F36" s="128">
        <f>F31</f>
        <v>1</v>
      </c>
      <c r="G36" s="84"/>
    </row>
    <row r="37" spans="1:7">
      <c r="A37" s="84" t="s">
        <v>150</v>
      </c>
      <c r="B37" s="128">
        <f>SUM(C21:C25)/SUM(B21:B25)</f>
        <v>2.408225437928408</v>
      </c>
      <c r="C37" s="128">
        <f>SUM(D21:D24)/SUM(C21:C24)</f>
        <v>1.3875511131303953</v>
      </c>
      <c r="D37" s="128">
        <f>SUM(E21:E23)/SUM(D21:D23)</f>
        <v>1.2436328688130707</v>
      </c>
      <c r="E37" s="128">
        <f>SUM(F21:F22)/SUM(E21:E22)</f>
        <v>1.1273074474856779</v>
      </c>
      <c r="F37" s="128">
        <f>F36</f>
        <v>1</v>
      </c>
    </row>
    <row r="39" spans="1:7">
      <c r="A39" s="79" t="s">
        <v>149</v>
      </c>
      <c r="B39" s="79"/>
      <c r="C39" s="79"/>
      <c r="D39" s="79"/>
      <c r="E39" s="79"/>
    </row>
    <row r="41" spans="1:7">
      <c r="A41" s="13" t="s">
        <v>148</v>
      </c>
      <c r="B41" s="13">
        <v>1</v>
      </c>
      <c r="C41" s="13">
        <v>2</v>
      </c>
      <c r="D41" s="13">
        <v>3</v>
      </c>
      <c r="E41" s="13">
        <v>4</v>
      </c>
      <c r="F41" s="13">
        <v>5</v>
      </c>
    </row>
    <row r="42" spans="1:7">
      <c r="A42" s="13" t="s">
        <v>147</v>
      </c>
      <c r="B42" s="13">
        <f>AVERAGE(B21*(B31-B37)^2,B22*(B32-B37)^2,B23*(B33-B37)^2,B24*(B34-B37)^2,B25*(B35-B37)^2)</f>
        <v>0.86909523251426379</v>
      </c>
      <c r="C42" s="13">
        <f>AVERAGE(C21*(C31-C37)^2,C22*(C32-C37)^2,C23*(C33-C37)^2,C24*(C34-C37)^2)</f>
        <v>0.2520552544321496</v>
      </c>
      <c r="D42" s="13">
        <f>AVERAGE(D21*(D31-D37)^2,D22*(D32-D37)^2,D23*(D33-D37)^2)</f>
        <v>0.22475744803194783</v>
      </c>
      <c r="E42" s="13">
        <f>AVERAGE(E21*(E31-E37)^2,E22*(E32-E37)^2)</f>
        <v>1.7156979803182183E-2</v>
      </c>
      <c r="F42" s="13">
        <f>MIN(D42,E42,E42^2/D42)</f>
        <v>1.3096872141249783E-3</v>
      </c>
    </row>
    <row r="44" spans="1:7">
      <c r="A44" s="79" t="s">
        <v>146</v>
      </c>
      <c r="B44" s="79"/>
      <c r="C44" s="79"/>
      <c r="D44" s="79"/>
    </row>
    <row r="45" spans="1:7">
      <c r="B45" s="126" t="s">
        <v>139</v>
      </c>
      <c r="C45" s="126"/>
      <c r="D45" s="126"/>
      <c r="E45" s="126"/>
      <c r="F45" s="126"/>
      <c r="G45" s="126"/>
    </row>
    <row r="46" spans="1:7">
      <c r="A46" s="84"/>
      <c r="B46" s="84" t="s">
        <v>113</v>
      </c>
      <c r="C46" s="84" t="s">
        <v>112</v>
      </c>
      <c r="D46" s="84" t="s">
        <v>111</v>
      </c>
      <c r="E46" s="84" t="s">
        <v>110</v>
      </c>
      <c r="F46" s="84" t="s">
        <v>109</v>
      </c>
      <c r="G46" s="84" t="s">
        <v>108</v>
      </c>
    </row>
    <row r="47" spans="1:7">
      <c r="A47" s="84" t="s">
        <v>107</v>
      </c>
      <c r="B47" s="84">
        <v>192</v>
      </c>
      <c r="C47" s="84">
        <v>443</v>
      </c>
      <c r="D47" s="84">
        <v>596</v>
      </c>
      <c r="E47" s="84">
        <v>741</v>
      </c>
      <c r="F47" s="84">
        <v>839</v>
      </c>
      <c r="G47" s="84">
        <v>839</v>
      </c>
    </row>
    <row r="48" spans="1:7">
      <c r="A48" s="84" t="s">
        <v>106</v>
      </c>
      <c r="B48" s="84">
        <v>205</v>
      </c>
      <c r="C48" s="84">
        <v>485</v>
      </c>
      <c r="D48" s="84">
        <v>680</v>
      </c>
      <c r="E48" s="84">
        <v>830</v>
      </c>
      <c r="F48" s="84">
        <v>932</v>
      </c>
      <c r="G48" s="84">
        <f>F48</f>
        <v>932</v>
      </c>
    </row>
    <row r="49" spans="1:9">
      <c r="A49" s="84" t="s">
        <v>105</v>
      </c>
      <c r="B49" s="84">
        <v>230</v>
      </c>
      <c r="C49" s="84">
        <v>575</v>
      </c>
      <c r="D49" s="84">
        <v>805</v>
      </c>
      <c r="E49" s="84">
        <v>1017</v>
      </c>
      <c r="F49" s="84">
        <f>E49*E37</f>
        <v>1146.4716740929343</v>
      </c>
      <c r="G49" s="84">
        <f>F49</f>
        <v>1146.4716740929343</v>
      </c>
    </row>
    <row r="50" spans="1:9">
      <c r="A50" s="84" t="s">
        <v>104</v>
      </c>
      <c r="B50" s="84">
        <v>288</v>
      </c>
      <c r="C50" s="84">
        <v>698</v>
      </c>
      <c r="D50" s="84">
        <v>973</v>
      </c>
      <c r="E50" s="84">
        <f>D50*D37</f>
        <v>1210.0547813551177</v>
      </c>
      <c r="F50" s="84">
        <f>E50*E37</f>
        <v>1364.1037668872777</v>
      </c>
      <c r="G50" s="84">
        <f>F50</f>
        <v>1364.1037668872777</v>
      </c>
    </row>
    <row r="51" spans="1:9">
      <c r="A51" s="84" t="s">
        <v>103</v>
      </c>
      <c r="B51" s="84">
        <v>398</v>
      </c>
      <c r="C51" s="84">
        <v>961</v>
      </c>
      <c r="D51" s="84">
        <f>C51*C37</f>
        <v>1333.4366197183099</v>
      </c>
      <c r="E51" s="84">
        <f>D51*D37</f>
        <v>1658.3056087606853</v>
      </c>
      <c r="F51" s="84">
        <f>E51*E37</f>
        <v>1869.4202629631914</v>
      </c>
      <c r="G51" s="84">
        <f>F51</f>
        <v>1869.4202629631914</v>
      </c>
    </row>
    <row r="52" spans="1:9">
      <c r="A52" s="84" t="s">
        <v>102</v>
      </c>
      <c r="B52" s="84">
        <v>530</v>
      </c>
      <c r="C52" s="84">
        <f>B52*B37</f>
        <v>1276.3594821020563</v>
      </c>
      <c r="D52" s="84">
        <f>C52*C37</f>
        <v>1771.014020145243</v>
      </c>
      <c r="E52" s="84">
        <f>D52*D37</f>
        <v>2202.4912465813977</v>
      </c>
      <c r="F52" s="84">
        <f>E52*E37</f>
        <v>2482.8847852932245</v>
      </c>
      <c r="G52" s="84">
        <f>F52</f>
        <v>2482.8847852932245</v>
      </c>
    </row>
    <row r="55" spans="1:9">
      <c r="A55" s="79" t="s">
        <v>145</v>
      </c>
      <c r="B55" s="79"/>
      <c r="C55" s="79"/>
      <c r="D55" s="79"/>
      <c r="E55" s="79"/>
    </row>
    <row r="56" spans="1:9">
      <c r="A56" s="13" t="s">
        <v>143</v>
      </c>
      <c r="B56" s="13">
        <v>3</v>
      </c>
      <c r="C56" s="13">
        <v>5</v>
      </c>
    </row>
    <row r="57" spans="1:9">
      <c r="A57" s="13" t="s">
        <v>142</v>
      </c>
      <c r="B57" s="129">
        <f>G49^2*(F42/F37^2/F49+E42/E37^2/E49)</f>
        <v>18.95016775275225</v>
      </c>
      <c r="C57" s="129">
        <f>G51^2*(F42/F37^2/F51+E42/E37^2/E51+D42/D37^2/D51+C42/C37^2/C51)</f>
        <v>887.85415443518798</v>
      </c>
    </row>
    <row r="60" spans="1:9">
      <c r="A60" s="79" t="s">
        <v>144</v>
      </c>
      <c r="B60" s="79"/>
      <c r="C60" s="79"/>
      <c r="D60" s="79"/>
      <c r="E60" s="79"/>
    </row>
    <row r="61" spans="1:9">
      <c r="A61" s="13" t="s">
        <v>143</v>
      </c>
      <c r="B61" s="13">
        <v>3</v>
      </c>
      <c r="C61" s="13">
        <v>5</v>
      </c>
    </row>
    <row r="62" spans="1:9">
      <c r="A62" s="13" t="s">
        <v>142</v>
      </c>
      <c r="B62" s="129">
        <f>G49^2*(F42/F36^2/F49+E42/E36^2/E49)</f>
        <v>18.941961301907817</v>
      </c>
      <c r="C62" s="129">
        <f>G51^2*(F42/F36^2/F51+E42/E36^2/E51+D42/D36^2/D51+C42/C36^2/C51)</f>
        <v>890.10183317233475</v>
      </c>
    </row>
    <row r="64" spans="1:9" ht="15" customHeight="1">
      <c r="A64" s="105" t="s">
        <v>161</v>
      </c>
      <c r="B64" s="105"/>
      <c r="C64" s="105"/>
      <c r="D64" s="105"/>
      <c r="E64" s="105"/>
      <c r="F64" s="105"/>
      <c r="G64" s="105"/>
      <c r="H64" s="105"/>
      <c r="I64" s="105"/>
    </row>
    <row r="65" spans="1:9">
      <c r="A65" s="105"/>
      <c r="B65" s="105"/>
      <c r="C65" s="105"/>
      <c r="D65" s="105"/>
      <c r="E65" s="105"/>
      <c r="F65" s="105"/>
      <c r="G65" s="105"/>
      <c r="H65" s="105"/>
      <c r="I65" s="105"/>
    </row>
  </sheetData>
  <mergeCells count="13">
    <mergeCell ref="A64:I65"/>
    <mergeCell ref="A6:G6"/>
    <mergeCell ref="A39:E39"/>
    <mergeCell ref="A55:E55"/>
    <mergeCell ref="A8:C8"/>
    <mergeCell ref="B9:G9"/>
    <mergeCell ref="A18:C18"/>
    <mergeCell ref="B19:G19"/>
    <mergeCell ref="A28:C28"/>
    <mergeCell ref="B29:G29"/>
    <mergeCell ref="B45:G45"/>
    <mergeCell ref="A44:D44"/>
    <mergeCell ref="A60:E6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2DC-B776-4BEB-A45B-9A0BFF5EBAC3}">
  <sheetPr>
    <tabColor theme="5" tint="0.39997558519241921"/>
  </sheetPr>
  <dimension ref="A1:J50"/>
  <sheetViews>
    <sheetView zoomScaleNormal="100" workbookViewId="0"/>
  </sheetViews>
  <sheetFormatPr defaultColWidth="11.44140625" defaultRowHeight="14.4"/>
  <cols>
    <col min="1" max="16384" width="11.44140625" style="13"/>
  </cols>
  <sheetData>
    <row r="1" spans="1:7">
      <c r="A1" s="21" t="s">
        <v>200</v>
      </c>
    </row>
    <row r="3" spans="1:7">
      <c r="A3" s="14" t="s">
        <v>1</v>
      </c>
    </row>
    <row r="4" spans="1:7">
      <c r="A4" s="13" t="s">
        <v>138</v>
      </c>
    </row>
    <row r="6" spans="1:7" ht="15" customHeight="1">
      <c r="A6" s="105" t="s">
        <v>117</v>
      </c>
      <c r="B6" s="105"/>
      <c r="C6" s="105"/>
      <c r="D6" s="105"/>
      <c r="E6" s="105"/>
      <c r="F6" s="105"/>
      <c r="G6" s="105"/>
    </row>
    <row r="7" spans="1:7" ht="15" customHeight="1">
      <c r="A7" s="16" t="s">
        <v>116</v>
      </c>
      <c r="B7" s="16"/>
      <c r="C7" s="16"/>
      <c r="D7" s="16"/>
      <c r="E7" s="16"/>
      <c r="F7" s="16"/>
      <c r="G7" s="16"/>
    </row>
    <row r="8" spans="1:7">
      <c r="A8" s="16"/>
      <c r="B8" s="16"/>
      <c r="C8" s="16"/>
      <c r="D8" s="16"/>
      <c r="E8" s="16"/>
      <c r="F8" s="16"/>
      <c r="G8" s="16"/>
    </row>
    <row r="9" spans="1:7">
      <c r="A9" s="16"/>
      <c r="B9" s="16"/>
      <c r="C9" s="16"/>
      <c r="D9" s="16"/>
      <c r="E9" s="16"/>
      <c r="F9" s="16"/>
      <c r="G9" s="16"/>
    </row>
    <row r="10" spans="1:7">
      <c r="A10" s="16"/>
      <c r="B10" s="16"/>
      <c r="C10" s="16"/>
      <c r="D10" s="16"/>
      <c r="E10" s="16"/>
      <c r="F10" s="16"/>
      <c r="G10" s="16"/>
    </row>
    <row r="11" spans="1:7">
      <c r="A11" s="16"/>
      <c r="B11" s="16"/>
      <c r="C11" s="16"/>
      <c r="D11" s="16"/>
      <c r="E11" s="16"/>
      <c r="F11" s="16"/>
      <c r="G11" s="16"/>
    </row>
    <row r="12" spans="1:7">
      <c r="A12" s="16"/>
      <c r="B12" s="16"/>
      <c r="C12" s="16"/>
      <c r="D12" s="16"/>
      <c r="E12" s="16"/>
      <c r="F12" s="16"/>
      <c r="G12" s="16"/>
    </row>
    <row r="13" spans="1:7">
      <c r="A13" s="16"/>
      <c r="B13" s="16"/>
      <c r="C13" s="16"/>
      <c r="D13" s="16"/>
      <c r="E13" s="16"/>
      <c r="F13" s="16"/>
      <c r="G13" s="16"/>
    </row>
    <row r="15" spans="1:7" ht="15" thickBot="1">
      <c r="A15" s="15" t="s">
        <v>115</v>
      </c>
      <c r="B15" s="15"/>
      <c r="C15" s="15"/>
    </row>
    <row r="16" spans="1:7">
      <c r="A16" s="106"/>
      <c r="B16" s="107" t="s">
        <v>114</v>
      </c>
      <c r="C16" s="107"/>
      <c r="D16" s="107"/>
      <c r="E16" s="107"/>
      <c r="F16" s="107"/>
      <c r="G16" s="108"/>
    </row>
    <row r="17" spans="1:10">
      <c r="A17" s="109"/>
      <c r="B17" s="20" t="s">
        <v>113</v>
      </c>
      <c r="C17" s="20" t="s">
        <v>112</v>
      </c>
      <c r="D17" s="20" t="s">
        <v>111</v>
      </c>
      <c r="E17" s="20" t="s">
        <v>110</v>
      </c>
      <c r="F17" s="20" t="s">
        <v>109</v>
      </c>
      <c r="G17" s="110" t="s">
        <v>108</v>
      </c>
    </row>
    <row r="18" spans="1:10">
      <c r="A18" s="109" t="s">
        <v>107</v>
      </c>
      <c r="B18" s="20">
        <v>1780</v>
      </c>
      <c r="C18" s="20">
        <v>2673</v>
      </c>
      <c r="D18" s="20">
        <v>2874</v>
      </c>
      <c r="E18" s="20">
        <v>3094</v>
      </c>
      <c r="F18" s="20">
        <v>3157</v>
      </c>
      <c r="G18" s="110">
        <v>3166</v>
      </c>
      <c r="J18" s="111"/>
    </row>
    <row r="19" spans="1:10">
      <c r="A19" s="109" t="s">
        <v>106</v>
      </c>
      <c r="B19" s="20">
        <v>3226</v>
      </c>
      <c r="C19" s="20">
        <v>4219</v>
      </c>
      <c r="D19" s="20">
        <v>4532</v>
      </c>
      <c r="E19" s="20">
        <v>4881</v>
      </c>
      <c r="F19" s="20">
        <v>5144</v>
      </c>
      <c r="G19" s="110"/>
    </row>
    <row r="20" spans="1:10">
      <c r="A20" s="109" t="s">
        <v>105</v>
      </c>
      <c r="B20" s="20">
        <v>3652</v>
      </c>
      <c r="C20" s="20">
        <v>4989</v>
      </c>
      <c r="D20" s="20">
        <v>5762</v>
      </c>
      <c r="E20" s="20">
        <v>6436</v>
      </c>
      <c r="F20" s="20"/>
      <c r="G20" s="110"/>
    </row>
    <row r="21" spans="1:10">
      <c r="A21" s="109" t="s">
        <v>104</v>
      </c>
      <c r="B21" s="20">
        <v>2723</v>
      </c>
      <c r="C21" s="20">
        <v>4301</v>
      </c>
      <c r="D21" s="20">
        <v>5526</v>
      </c>
      <c r="E21" s="20"/>
      <c r="F21" s="20"/>
      <c r="G21" s="110"/>
    </row>
    <row r="22" spans="1:10">
      <c r="A22" s="109" t="s">
        <v>103</v>
      </c>
      <c r="B22" s="20">
        <v>2923</v>
      </c>
      <c r="C22" s="20">
        <v>4666</v>
      </c>
      <c r="D22" s="20"/>
      <c r="E22" s="20"/>
      <c r="F22" s="20"/>
      <c r="G22" s="110"/>
    </row>
    <row r="23" spans="1:10" ht="15" thickBot="1">
      <c r="A23" s="112" t="s">
        <v>102</v>
      </c>
      <c r="B23" s="113">
        <v>2990</v>
      </c>
      <c r="C23" s="113"/>
      <c r="D23" s="113"/>
      <c r="E23" s="113"/>
      <c r="F23" s="113"/>
      <c r="G23" s="114"/>
    </row>
    <row r="26" spans="1:10" ht="15" thickBot="1">
      <c r="A26" s="15" t="s">
        <v>101</v>
      </c>
      <c r="B26" s="15"/>
      <c r="C26" s="15"/>
    </row>
    <row r="27" spans="1:10">
      <c r="A27" s="115" t="e" vm="1">
        <v>#VALUE!</v>
      </c>
      <c r="B27" s="116"/>
      <c r="C27" s="116"/>
      <c r="D27" s="116"/>
      <c r="E27" s="116"/>
      <c r="F27" s="116"/>
      <c r="G27" s="117"/>
    </row>
    <row r="28" spans="1:10">
      <c r="A28" s="118"/>
      <c r="B28" s="119"/>
      <c r="C28" s="119"/>
      <c r="D28" s="119"/>
      <c r="E28" s="119"/>
      <c r="F28" s="119"/>
      <c r="G28" s="120"/>
    </row>
    <row r="29" spans="1:10">
      <c r="A29" s="118"/>
      <c r="B29" s="119"/>
      <c r="C29" s="119"/>
      <c r="D29" s="119"/>
      <c r="E29" s="119"/>
      <c r="F29" s="119"/>
      <c r="G29" s="120"/>
    </row>
    <row r="30" spans="1:10">
      <c r="A30" s="118"/>
      <c r="B30" s="119"/>
      <c r="C30" s="119"/>
      <c r="D30" s="119"/>
      <c r="E30" s="119"/>
      <c r="F30" s="119"/>
      <c r="G30" s="120"/>
    </row>
    <row r="31" spans="1:10">
      <c r="A31" s="118"/>
      <c r="B31" s="119"/>
      <c r="C31" s="119"/>
      <c r="D31" s="119"/>
      <c r="E31" s="119"/>
      <c r="F31" s="119"/>
      <c r="G31" s="120"/>
    </row>
    <row r="32" spans="1:10">
      <c r="A32" s="118"/>
      <c r="B32" s="119"/>
      <c r="C32" s="119"/>
      <c r="D32" s="119"/>
      <c r="E32" s="119"/>
      <c r="F32" s="119"/>
      <c r="G32" s="120"/>
    </row>
    <row r="33" spans="1:7">
      <c r="A33" s="118"/>
      <c r="B33" s="119"/>
      <c r="C33" s="119"/>
      <c r="D33" s="119"/>
      <c r="E33" s="119"/>
      <c r="F33" s="119"/>
      <c r="G33" s="120"/>
    </row>
    <row r="34" spans="1:7">
      <c r="A34" s="118"/>
      <c r="B34" s="119"/>
      <c r="C34" s="119"/>
      <c r="D34" s="119"/>
      <c r="E34" s="119"/>
      <c r="F34" s="119"/>
      <c r="G34" s="120"/>
    </row>
    <row r="35" spans="1:7">
      <c r="A35" s="118"/>
      <c r="B35" s="119"/>
      <c r="C35" s="119"/>
      <c r="D35" s="119"/>
      <c r="E35" s="119"/>
      <c r="F35" s="119"/>
      <c r="G35" s="120"/>
    </row>
    <row r="36" spans="1:7">
      <c r="A36" s="118"/>
      <c r="B36" s="119"/>
      <c r="C36" s="119"/>
      <c r="D36" s="119"/>
      <c r="E36" s="119"/>
      <c r="F36" s="119"/>
      <c r="G36" s="120"/>
    </row>
    <row r="37" spans="1:7">
      <c r="A37" s="118"/>
      <c r="B37" s="119"/>
      <c r="C37" s="119"/>
      <c r="D37" s="119"/>
      <c r="E37" s="119"/>
      <c r="F37" s="119"/>
      <c r="G37" s="120"/>
    </row>
    <row r="38" spans="1:7">
      <c r="A38" s="118"/>
      <c r="B38" s="119"/>
      <c r="C38" s="119"/>
      <c r="D38" s="119"/>
      <c r="E38" s="119"/>
      <c r="F38" s="119"/>
      <c r="G38" s="120"/>
    </row>
    <row r="39" spans="1:7">
      <c r="A39" s="118"/>
      <c r="B39" s="119"/>
      <c r="C39" s="119"/>
      <c r="D39" s="119"/>
      <c r="E39" s="119"/>
      <c r="F39" s="119"/>
      <c r="G39" s="120"/>
    </row>
    <row r="40" spans="1:7">
      <c r="A40" s="118"/>
      <c r="B40" s="119"/>
      <c r="C40" s="119"/>
      <c r="D40" s="119"/>
      <c r="E40" s="119"/>
      <c r="F40" s="119"/>
      <c r="G40" s="120"/>
    </row>
    <row r="41" spans="1:7">
      <c r="A41" s="118"/>
      <c r="B41" s="119"/>
      <c r="C41" s="119"/>
      <c r="D41" s="119"/>
      <c r="E41" s="119"/>
      <c r="F41" s="119"/>
      <c r="G41" s="120"/>
    </row>
    <row r="42" spans="1:7">
      <c r="A42" s="118"/>
      <c r="B42" s="119"/>
      <c r="C42" s="119"/>
      <c r="D42" s="119"/>
      <c r="E42" s="119"/>
      <c r="F42" s="119"/>
      <c r="G42" s="120"/>
    </row>
    <row r="43" spans="1:7">
      <c r="A43" s="118"/>
      <c r="B43" s="119"/>
      <c r="C43" s="119"/>
      <c r="D43" s="119"/>
      <c r="E43" s="119"/>
      <c r="F43" s="119"/>
      <c r="G43" s="120"/>
    </row>
    <row r="44" spans="1:7">
      <c r="A44" s="118"/>
      <c r="B44" s="119"/>
      <c r="C44" s="119"/>
      <c r="D44" s="119"/>
      <c r="E44" s="119"/>
      <c r="F44" s="119"/>
      <c r="G44" s="120"/>
    </row>
    <row r="45" spans="1:7">
      <c r="A45" s="118"/>
      <c r="B45" s="119"/>
      <c r="C45" s="119"/>
      <c r="D45" s="119"/>
      <c r="E45" s="119"/>
      <c r="F45" s="119"/>
      <c r="G45" s="120"/>
    </row>
    <row r="46" spans="1:7">
      <c r="A46" s="118"/>
      <c r="B46" s="119"/>
      <c r="C46" s="119"/>
      <c r="D46" s="119"/>
      <c r="E46" s="119"/>
      <c r="F46" s="119"/>
      <c r="G46" s="120"/>
    </row>
    <row r="47" spans="1:7">
      <c r="A47" s="118"/>
      <c r="B47" s="119"/>
      <c r="C47" s="119"/>
      <c r="D47" s="119"/>
      <c r="E47" s="119"/>
      <c r="F47" s="119"/>
      <c r="G47" s="120"/>
    </row>
    <row r="48" spans="1:7">
      <c r="A48" s="118"/>
      <c r="B48" s="119"/>
      <c r="C48" s="119"/>
      <c r="D48" s="119"/>
      <c r="E48" s="119"/>
      <c r="F48" s="119"/>
      <c r="G48" s="120"/>
    </row>
    <row r="49" spans="1:7">
      <c r="A49" s="118"/>
      <c r="B49" s="119"/>
      <c r="C49" s="119"/>
      <c r="D49" s="119"/>
      <c r="E49" s="119"/>
      <c r="F49" s="119"/>
      <c r="G49" s="120"/>
    </row>
    <row r="50" spans="1:7" ht="15" thickBot="1">
      <c r="A50" s="121"/>
      <c r="B50" s="122"/>
      <c r="C50" s="122"/>
      <c r="D50" s="122"/>
      <c r="E50" s="122"/>
      <c r="F50" s="122"/>
      <c r="G50" s="123"/>
    </row>
  </sheetData>
  <mergeCells count="6">
    <mergeCell ref="A26:C26"/>
    <mergeCell ref="A27:G50"/>
    <mergeCell ref="B16:G16"/>
    <mergeCell ref="A6:G6"/>
    <mergeCell ref="A15:C15"/>
    <mergeCell ref="A7:G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66A1-B4E7-4E29-87B8-5DA3223998BB}">
  <sheetPr>
    <tabColor theme="9" tint="0.59999389629810485"/>
  </sheetPr>
  <dimension ref="A1:I34"/>
  <sheetViews>
    <sheetView zoomScaleNormal="100" workbookViewId="0"/>
  </sheetViews>
  <sheetFormatPr defaultColWidth="8.88671875" defaultRowHeight="14.4"/>
  <cols>
    <col min="1" max="1" width="11.33203125" style="13" customWidth="1"/>
    <col min="2" max="7" width="8.88671875" style="13"/>
    <col min="8" max="8" width="12.5546875" style="13" customWidth="1"/>
    <col min="9" max="16384" width="8.88671875" style="13"/>
  </cols>
  <sheetData>
    <row r="1" spans="1:9">
      <c r="A1" s="21" t="s">
        <v>200</v>
      </c>
    </row>
    <row r="3" spans="1:9">
      <c r="A3" s="14" t="s">
        <v>1</v>
      </c>
    </row>
    <row r="4" spans="1:9">
      <c r="A4" s="13" t="s">
        <v>138</v>
      </c>
    </row>
    <row r="6" spans="1:9" ht="15" customHeight="1">
      <c r="A6" s="77" t="s">
        <v>137</v>
      </c>
      <c r="B6" s="78"/>
      <c r="C6" s="78"/>
      <c r="D6" s="78"/>
      <c r="E6" s="78"/>
      <c r="F6" s="78"/>
      <c r="G6" s="78"/>
      <c r="H6" s="78"/>
      <c r="I6" s="78"/>
    </row>
    <row r="7" spans="1:9">
      <c r="A7" s="77"/>
      <c r="B7" s="78"/>
      <c r="C7" s="78"/>
      <c r="D7" s="78"/>
      <c r="E7" s="78"/>
      <c r="F7" s="78"/>
      <c r="G7" s="78"/>
      <c r="H7" s="78"/>
      <c r="I7" s="78"/>
    </row>
    <row r="8" spans="1:9">
      <c r="A8" s="77"/>
      <c r="B8" s="78"/>
      <c r="C8" s="78"/>
      <c r="D8" s="78"/>
      <c r="E8" s="78"/>
      <c r="F8" s="78"/>
      <c r="G8" s="78"/>
      <c r="H8" s="78"/>
      <c r="I8" s="78"/>
    </row>
    <row r="9" spans="1:9">
      <c r="A9" s="77"/>
      <c r="B9" s="78"/>
      <c r="C9" s="78"/>
      <c r="D9" s="78"/>
      <c r="E9" s="78"/>
      <c r="F9" s="78"/>
      <c r="G9" s="78"/>
      <c r="H9" s="78"/>
      <c r="I9" s="78"/>
    </row>
    <row r="10" spans="1:9">
      <c r="A10" s="77"/>
      <c r="B10" s="78"/>
      <c r="C10" s="78"/>
      <c r="D10" s="78"/>
      <c r="E10" s="78"/>
      <c r="F10" s="78"/>
      <c r="G10" s="78"/>
      <c r="H10" s="78"/>
      <c r="I10" s="78"/>
    </row>
    <row r="12" spans="1:9" ht="15" thickBot="1">
      <c r="A12" s="79" t="s">
        <v>136</v>
      </c>
      <c r="B12" s="79"/>
      <c r="C12" s="79"/>
    </row>
    <row r="13" spans="1:9">
      <c r="A13" s="80" t="s">
        <v>135</v>
      </c>
      <c r="B13" s="81" t="s">
        <v>134</v>
      </c>
      <c r="C13" s="82" t="s">
        <v>133</v>
      </c>
    </row>
    <row r="14" spans="1:9">
      <c r="A14" s="83" t="s">
        <v>132</v>
      </c>
      <c r="B14" s="84">
        <v>7.4061000000000003</v>
      </c>
      <c r="C14" s="85">
        <v>0.1938</v>
      </c>
    </row>
    <row r="15" spans="1:9">
      <c r="A15" s="83" t="s">
        <v>131</v>
      </c>
      <c r="B15" s="84">
        <v>0.48820000000000002</v>
      </c>
      <c r="C15" s="85">
        <v>0.23139999999999999</v>
      </c>
    </row>
    <row r="16" spans="1:9">
      <c r="A16" s="83" t="s">
        <v>130</v>
      </c>
      <c r="B16" s="84">
        <v>0.75229999999999997</v>
      </c>
      <c r="C16" s="85">
        <v>0.2235</v>
      </c>
    </row>
    <row r="17" spans="1:9">
      <c r="A17" s="83" t="s">
        <v>129</v>
      </c>
      <c r="B17" s="84">
        <v>0.69010000000000005</v>
      </c>
      <c r="C17" s="85">
        <v>0.23089999999999999</v>
      </c>
    </row>
    <row r="18" spans="1:9">
      <c r="A18" s="83" t="s">
        <v>128</v>
      </c>
      <c r="B18" s="84">
        <v>0.66520000000000001</v>
      </c>
      <c r="C18" s="85">
        <v>0.2402</v>
      </c>
    </row>
    <row r="19" spans="1:9">
      <c r="A19" s="83" t="s">
        <v>127</v>
      </c>
      <c r="B19" s="84">
        <v>0.59689999999999999</v>
      </c>
      <c r="C19" s="85">
        <v>0.26939999999999997</v>
      </c>
    </row>
    <row r="20" spans="1:9">
      <c r="A20" s="83" t="s">
        <v>126</v>
      </c>
      <c r="B20" s="84">
        <v>-0.78200000000000003</v>
      </c>
      <c r="C20" s="85">
        <v>0.1527</v>
      </c>
    </row>
    <row r="21" spans="1:9">
      <c r="A21" s="83" t="s">
        <v>125</v>
      </c>
      <c r="B21" s="84">
        <v>-1.4861</v>
      </c>
      <c r="C21" s="85">
        <v>0.22470000000000001</v>
      </c>
    </row>
    <row r="22" spans="1:9">
      <c r="A22" s="83" t="s">
        <v>124</v>
      </c>
      <c r="B22" s="84">
        <v>-1.8391999999999999</v>
      </c>
      <c r="C22" s="85">
        <v>0.30890000000000001</v>
      </c>
    </row>
    <row r="23" spans="1:9">
      <c r="A23" s="83" t="s">
        <v>123</v>
      </c>
      <c r="B23" s="84">
        <v>-2.5859000000000001</v>
      </c>
      <c r="C23" s="85">
        <v>0.58160000000000001</v>
      </c>
    </row>
    <row r="24" spans="1:9">
      <c r="A24" s="83" t="s">
        <v>122</v>
      </c>
      <c r="B24" s="84">
        <v>-5.2088999999999999</v>
      </c>
      <c r="C24" s="85">
        <v>3.4169999999999998</v>
      </c>
    </row>
    <row r="25" spans="1:9" ht="15" thickBot="1">
      <c r="A25" s="86" t="s">
        <v>121</v>
      </c>
      <c r="B25" s="87">
        <v>104.74590000000001</v>
      </c>
      <c r="C25" s="88"/>
    </row>
    <row r="27" spans="1:9" ht="15" thickBot="1">
      <c r="A27" s="79" t="s">
        <v>120</v>
      </c>
      <c r="B27" s="79"/>
      <c r="C27" s="79"/>
      <c r="D27" s="79"/>
      <c r="E27" s="79"/>
    </row>
    <row r="28" spans="1:9">
      <c r="A28" s="89"/>
      <c r="B28" s="90" t="s">
        <v>113</v>
      </c>
      <c r="C28" s="90" t="s">
        <v>112</v>
      </c>
      <c r="D28" s="90" t="s">
        <v>111</v>
      </c>
      <c r="E28" s="90" t="s">
        <v>110</v>
      </c>
      <c r="F28" s="90" t="s">
        <v>109</v>
      </c>
      <c r="G28" s="90" t="s">
        <v>108</v>
      </c>
      <c r="H28" s="91" t="s">
        <v>119</v>
      </c>
      <c r="I28" s="92"/>
    </row>
    <row r="29" spans="1:9" ht="15" thickBot="1">
      <c r="A29" s="93" t="s">
        <v>105</v>
      </c>
      <c r="B29" s="94"/>
      <c r="C29" s="94"/>
      <c r="D29" s="94"/>
      <c r="E29" s="94"/>
      <c r="F29" s="94">
        <f>EXP(B14+B16+B23)</f>
        <v>263.09100527878917</v>
      </c>
      <c r="G29" s="94">
        <f>EXP(B14+B16+B24)</f>
        <v>19.096403139213766</v>
      </c>
      <c r="H29" s="95">
        <f>SUM(F29:G29)</f>
        <v>282.18740841800292</v>
      </c>
      <c r="I29" s="92"/>
    </row>
    <row r="30" spans="1:9">
      <c r="A30" s="92"/>
      <c r="B30" s="92"/>
      <c r="C30" s="92"/>
      <c r="D30" s="92"/>
      <c r="E30" s="92"/>
      <c r="F30" s="92"/>
      <c r="G30" s="92"/>
      <c r="H30" s="92"/>
      <c r="I30" s="92"/>
    </row>
    <row r="31" spans="1:9" ht="15" thickBot="1">
      <c r="A31" s="96" t="s">
        <v>118</v>
      </c>
      <c r="B31" s="96"/>
      <c r="C31" s="96"/>
      <c r="D31" s="96"/>
      <c r="E31" s="92"/>
      <c r="F31" s="92"/>
      <c r="G31" s="92"/>
      <c r="H31" s="92"/>
      <c r="I31" s="92"/>
    </row>
    <row r="32" spans="1:9">
      <c r="A32" s="97"/>
      <c r="B32" s="98" t="s">
        <v>113</v>
      </c>
      <c r="C32" s="98" t="s">
        <v>112</v>
      </c>
      <c r="D32" s="98" t="s">
        <v>111</v>
      </c>
      <c r="E32" s="98" t="s">
        <v>110</v>
      </c>
      <c r="F32" s="98" t="s">
        <v>109</v>
      </c>
      <c r="G32" s="99" t="s">
        <v>108</v>
      </c>
      <c r="H32" s="100"/>
      <c r="I32" s="100"/>
    </row>
    <row r="33" spans="1:9" ht="15" thickBot="1">
      <c r="A33" s="101" t="s">
        <v>105</v>
      </c>
      <c r="B33" s="102"/>
      <c r="C33" s="102"/>
      <c r="D33" s="102"/>
      <c r="E33" s="102"/>
      <c r="F33" s="103">
        <f>SQRT(B25*F29+F29^2*(C14^2+C16^2+C23^2))</f>
        <v>238.80561543317089</v>
      </c>
      <c r="G33" s="104">
        <f>SQRT(B25*G29+G29^2*(C14^2+C16^2+C24^2))</f>
        <v>79.309896195835236</v>
      </c>
      <c r="H33" s="100"/>
      <c r="I33" s="100"/>
    </row>
    <row r="34" spans="1:9">
      <c r="A34" s="92"/>
      <c r="B34" s="92"/>
      <c r="C34" s="92"/>
      <c r="D34" s="92"/>
      <c r="E34" s="92"/>
      <c r="F34" s="92"/>
      <c r="G34" s="92"/>
      <c r="H34" s="92"/>
      <c r="I34" s="92"/>
    </row>
  </sheetData>
  <mergeCells count="4">
    <mergeCell ref="A27:E27"/>
    <mergeCell ref="A31:D31"/>
    <mergeCell ref="A12:C12"/>
    <mergeCell ref="A6:I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5AA8-4532-4913-BBDE-1817EB1848E9}">
  <sheetPr>
    <tabColor theme="5" tint="0.39997558519241921"/>
  </sheetPr>
  <dimension ref="A1:I19"/>
  <sheetViews>
    <sheetView workbookViewId="0"/>
  </sheetViews>
  <sheetFormatPr defaultRowHeight="14.4"/>
  <cols>
    <col min="1" max="6" width="8.88671875" style="21"/>
    <col min="7" max="7" width="10.5546875" style="21" customWidth="1"/>
    <col min="8" max="16384" width="8.88671875" style="21"/>
  </cols>
  <sheetData>
    <row r="1" spans="1:9">
      <c r="A1" s="21" t="s">
        <v>199</v>
      </c>
    </row>
    <row r="3" spans="1:9">
      <c r="A3" s="22" t="s">
        <v>1</v>
      </c>
    </row>
    <row r="4" spans="1:9">
      <c r="A4" s="21" t="s">
        <v>79</v>
      </c>
    </row>
    <row r="6" spans="1:9">
      <c r="A6" s="21" t="s">
        <v>60</v>
      </c>
      <c r="H6" s="68">
        <v>560000</v>
      </c>
      <c r="I6" s="21" t="s">
        <v>61</v>
      </c>
    </row>
    <row r="7" spans="1:9">
      <c r="A7" s="21" t="s">
        <v>62</v>
      </c>
      <c r="H7" s="69">
        <v>0.7</v>
      </c>
      <c r="I7" s="21" t="s">
        <v>61</v>
      </c>
    </row>
    <row r="8" spans="1:9">
      <c r="A8" s="21" t="s">
        <v>63</v>
      </c>
      <c r="H8" s="68">
        <v>20000</v>
      </c>
      <c r="I8" s="21" t="s">
        <v>61</v>
      </c>
    </row>
    <row r="10" spans="1:9">
      <c r="A10" s="21" t="s">
        <v>64</v>
      </c>
      <c r="D10" s="68">
        <v>280000</v>
      </c>
      <c r="E10" s="21" t="s">
        <v>61</v>
      </c>
    </row>
    <row r="12" spans="1:9">
      <c r="A12" s="21" t="s">
        <v>190</v>
      </c>
    </row>
    <row r="13" spans="1:9">
      <c r="A13" s="21" t="s">
        <v>65</v>
      </c>
    </row>
    <row r="15" spans="1:9">
      <c r="A15" s="75" t="s">
        <v>191</v>
      </c>
      <c r="B15" s="75"/>
      <c r="C15" s="75"/>
      <c r="D15" s="75"/>
      <c r="E15" s="75"/>
      <c r="F15" s="75"/>
      <c r="G15" s="75"/>
      <c r="H15" s="56">
        <f>D10</f>
        <v>280000</v>
      </c>
      <c r="I15" s="21" t="s">
        <v>61</v>
      </c>
    </row>
    <row r="17" spans="1:9">
      <c r="A17" s="76" t="s">
        <v>195</v>
      </c>
      <c r="B17" s="76"/>
      <c r="C17" s="76"/>
      <c r="D17" s="76"/>
      <c r="E17" s="76"/>
      <c r="F17" s="76"/>
      <c r="G17" s="76"/>
      <c r="H17" s="56">
        <v>360000</v>
      </c>
      <c r="I17" s="21" t="s">
        <v>61</v>
      </c>
    </row>
    <row r="19" spans="1:9">
      <c r="A19" s="75" t="s">
        <v>196</v>
      </c>
      <c r="B19" s="75"/>
      <c r="C19" s="75"/>
      <c r="D19" s="75"/>
      <c r="E19" s="75"/>
      <c r="F19" s="75"/>
      <c r="G19" s="75"/>
      <c r="H19" s="56">
        <v>450000</v>
      </c>
      <c r="I19" s="21" t="s">
        <v>61</v>
      </c>
    </row>
  </sheetData>
  <mergeCells count="3">
    <mergeCell ref="A15:G15"/>
    <mergeCell ref="A17:G17"/>
    <mergeCell ref="A19:G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3C89-6DDD-472F-8B2F-615A43E5FE83}">
  <sheetPr>
    <tabColor theme="9" tint="0.59999389629810485"/>
  </sheetPr>
  <dimension ref="A1:J45"/>
  <sheetViews>
    <sheetView workbookViewId="0"/>
  </sheetViews>
  <sheetFormatPr defaultRowHeight="14.4"/>
  <cols>
    <col min="1" max="1" width="8.88671875" style="21"/>
    <col min="2" max="2" width="14.88671875" style="21" customWidth="1"/>
    <col min="3" max="4" width="8.88671875" style="21"/>
    <col min="5" max="5" width="10" style="21" customWidth="1"/>
    <col min="6" max="6" width="8.88671875" style="21"/>
    <col min="7" max="7" width="13.109375" style="21" customWidth="1"/>
    <col min="8" max="16384" width="8.88671875" style="21"/>
  </cols>
  <sheetData>
    <row r="1" spans="1:9">
      <c r="A1" s="21" t="s">
        <v>199</v>
      </c>
    </row>
    <row r="3" spans="1:9">
      <c r="A3" s="22" t="s">
        <v>1</v>
      </c>
    </row>
    <row r="4" spans="1:9">
      <c r="A4" s="21" t="s">
        <v>79</v>
      </c>
    </row>
    <row r="6" spans="1:9">
      <c r="A6" s="21" t="s">
        <v>60</v>
      </c>
      <c r="H6" s="68">
        <v>560000</v>
      </c>
      <c r="I6" s="21" t="s">
        <v>61</v>
      </c>
    </row>
    <row r="7" spans="1:9">
      <c r="A7" s="21" t="s">
        <v>62</v>
      </c>
      <c r="H7" s="69">
        <v>0.7</v>
      </c>
      <c r="I7" s="21" t="s">
        <v>61</v>
      </c>
    </row>
    <row r="8" spans="1:9">
      <c r="A8" s="21" t="s">
        <v>63</v>
      </c>
      <c r="H8" s="68">
        <v>20000</v>
      </c>
      <c r="I8" s="21" t="s">
        <v>61</v>
      </c>
    </row>
    <row r="10" spans="1:9">
      <c r="A10" s="21" t="s">
        <v>64</v>
      </c>
      <c r="D10" s="68">
        <v>280000</v>
      </c>
      <c r="E10" s="21" t="s">
        <v>61</v>
      </c>
    </row>
    <row r="12" spans="1:9">
      <c r="A12" s="21" t="s">
        <v>190</v>
      </c>
    </row>
    <row r="13" spans="1:9">
      <c r="A13" s="21" t="s">
        <v>65</v>
      </c>
    </row>
    <row r="15" spans="1:9">
      <c r="A15" s="23" t="s">
        <v>191</v>
      </c>
      <c r="G15" s="56">
        <f>D10</f>
        <v>280000</v>
      </c>
      <c r="H15" s="21" t="s">
        <v>61</v>
      </c>
    </row>
    <row r="17" spans="1:10">
      <c r="A17" s="21" t="s">
        <v>66</v>
      </c>
    </row>
    <row r="18" spans="1:10">
      <c r="A18" s="21" t="s">
        <v>67</v>
      </c>
      <c r="I18" s="56">
        <f>H6*H7</f>
        <v>392000</v>
      </c>
    </row>
    <row r="19" spans="1:10">
      <c r="A19" s="21" t="s">
        <v>68</v>
      </c>
      <c r="I19" s="21">
        <f>G15/I18</f>
        <v>0.7142857142857143</v>
      </c>
      <c r="J19" s="21" t="s">
        <v>192</v>
      </c>
    </row>
    <row r="20" spans="1:10">
      <c r="C20" s="21" t="s">
        <v>193</v>
      </c>
      <c r="I20" s="56">
        <f>D10-H8</f>
        <v>260000</v>
      </c>
    </row>
    <row r="22" spans="1:10" ht="15" thickBot="1">
      <c r="A22" s="21" t="s">
        <v>69</v>
      </c>
    </row>
    <row r="23" spans="1:10" ht="15" thickBot="1">
      <c r="A23" s="23" t="s">
        <v>70</v>
      </c>
      <c r="C23" s="21">
        <f>I19</f>
        <v>0.7142857142857143</v>
      </c>
      <c r="D23" s="70" t="s">
        <v>71</v>
      </c>
      <c r="E23" s="56">
        <f>I20</f>
        <v>260000</v>
      </c>
      <c r="F23" s="70" t="s">
        <v>72</v>
      </c>
      <c r="G23" s="71">
        <f>C23*E23</f>
        <v>185714.28571428571</v>
      </c>
    </row>
    <row r="25" spans="1:10" ht="15" thickBot="1">
      <c r="A25" s="21" t="s">
        <v>194</v>
      </c>
    </row>
    <row r="26" spans="1:10" ht="15" thickBot="1">
      <c r="A26" s="23" t="s">
        <v>73</v>
      </c>
      <c r="C26" s="56">
        <f>I20</f>
        <v>260000</v>
      </c>
      <c r="D26" s="70" t="s">
        <v>74</v>
      </c>
      <c r="E26" s="21">
        <f>G23</f>
        <v>185714.28571428571</v>
      </c>
      <c r="F26" s="72" t="s">
        <v>72</v>
      </c>
      <c r="G26" s="71">
        <f>C26-E26</f>
        <v>74285.71428571429</v>
      </c>
    </row>
    <row r="28" spans="1:10">
      <c r="A28" s="23" t="s">
        <v>195</v>
      </c>
      <c r="G28" s="56">
        <v>360000</v>
      </c>
      <c r="H28" s="21" t="s">
        <v>61</v>
      </c>
    </row>
    <row r="30" spans="1:10">
      <c r="A30" s="21" t="s">
        <v>75</v>
      </c>
      <c r="F30" s="56">
        <f>G28</f>
        <v>360000</v>
      </c>
      <c r="G30" s="70" t="s">
        <v>76</v>
      </c>
      <c r="H30" s="56">
        <f>I18</f>
        <v>392000</v>
      </c>
      <c r="I30" s="70" t="s">
        <v>72</v>
      </c>
      <c r="J30" s="21">
        <f>F30/H30</f>
        <v>0.91836734693877553</v>
      </c>
    </row>
    <row r="31" spans="1:10">
      <c r="C31" s="21" t="s">
        <v>193</v>
      </c>
      <c r="I31" s="56">
        <f>D10-H8</f>
        <v>260000</v>
      </c>
    </row>
    <row r="33" spans="1:9" ht="15" thickBot="1">
      <c r="A33" s="21" t="s">
        <v>69</v>
      </c>
    </row>
    <row r="34" spans="1:9" ht="15" thickBot="1">
      <c r="A34" s="23" t="s">
        <v>70</v>
      </c>
      <c r="C34" s="21">
        <f>J30</f>
        <v>0.91836734693877553</v>
      </c>
      <c r="D34" s="70" t="s">
        <v>71</v>
      </c>
      <c r="E34" s="56">
        <f>I31</f>
        <v>260000</v>
      </c>
      <c r="F34" s="70" t="s">
        <v>72</v>
      </c>
      <c r="G34" s="71">
        <f>C34*E34</f>
        <v>238775.51020408163</v>
      </c>
    </row>
    <row r="36" spans="1:9" ht="15" thickBot="1">
      <c r="A36" s="21" t="s">
        <v>194</v>
      </c>
    </row>
    <row r="37" spans="1:9" ht="15" thickBot="1">
      <c r="A37" s="23" t="s">
        <v>73</v>
      </c>
      <c r="C37" s="56">
        <f>I31</f>
        <v>260000</v>
      </c>
      <c r="D37" s="70" t="s">
        <v>74</v>
      </c>
      <c r="E37" s="21">
        <f>G34</f>
        <v>238775.51020408163</v>
      </c>
      <c r="F37" s="72" t="s">
        <v>72</v>
      </c>
      <c r="G37" s="71">
        <f>C37-E37</f>
        <v>21224.489795918373</v>
      </c>
    </row>
    <row r="39" spans="1:9">
      <c r="A39" s="23" t="s">
        <v>196</v>
      </c>
      <c r="G39" s="56">
        <v>450000</v>
      </c>
      <c r="H39" s="21" t="s">
        <v>61</v>
      </c>
    </row>
    <row r="40" spans="1:9">
      <c r="A40" s="21" t="s">
        <v>77</v>
      </c>
      <c r="H40" s="56">
        <f>I18</f>
        <v>392000</v>
      </c>
      <c r="I40" s="21" t="s">
        <v>61</v>
      </c>
    </row>
    <row r="41" spans="1:9">
      <c r="A41" s="21" t="s">
        <v>78</v>
      </c>
    </row>
    <row r="42" spans="1:9">
      <c r="A42" s="21" t="s">
        <v>197</v>
      </c>
    </row>
    <row r="43" spans="1:9" ht="15" thickBot="1"/>
    <row r="44" spans="1:9" ht="15" thickBot="1">
      <c r="A44" s="21" t="s">
        <v>198</v>
      </c>
      <c r="C44" s="73">
        <f>D10-H8</f>
        <v>260000</v>
      </c>
    </row>
    <row r="45" spans="1:9" ht="15" thickBot="1">
      <c r="A45" s="23" t="s">
        <v>73</v>
      </c>
      <c r="C45" s="7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82273-28C1-4824-9A46-E9041FF55D8A}">
  <sheetPr>
    <tabColor theme="5" tint="0.39997558519241921"/>
  </sheetPr>
  <dimension ref="A1:O29"/>
  <sheetViews>
    <sheetView workbookViewId="0"/>
  </sheetViews>
  <sheetFormatPr defaultColWidth="8.88671875" defaultRowHeight="14.4"/>
  <cols>
    <col min="1" max="1" width="8.88671875" style="21"/>
    <col min="2" max="2" width="13.33203125" style="21" bestFit="1" customWidth="1"/>
    <col min="3" max="3" width="14.44140625" style="21" customWidth="1"/>
    <col min="4" max="4" width="9.33203125" style="21" bestFit="1" customWidth="1"/>
    <col min="5" max="5" width="14" style="21" customWidth="1"/>
    <col min="6" max="6" width="6.109375" style="21" customWidth="1"/>
    <col min="7" max="7" width="8.109375" style="21" customWidth="1"/>
    <col min="8" max="8" width="8.88671875" style="21"/>
    <col min="9" max="9" width="13.5546875" style="21" customWidth="1"/>
    <col min="10" max="10" width="13.109375" style="21" customWidth="1"/>
    <col min="11" max="12" width="8.88671875" style="21"/>
    <col min="13" max="13" width="14.5546875" style="21" customWidth="1"/>
    <col min="14" max="14" width="11.5546875" style="21" customWidth="1"/>
    <col min="15" max="15" width="14" style="21" customWidth="1"/>
    <col min="16" max="16" width="11.88671875" style="21" customWidth="1"/>
    <col min="17" max="16384" width="8.88671875" style="21"/>
  </cols>
  <sheetData>
    <row r="1" spans="1:15">
      <c r="A1" s="21" t="s">
        <v>199</v>
      </c>
    </row>
    <row r="3" spans="1:15">
      <c r="A3" s="22" t="s">
        <v>1</v>
      </c>
    </row>
    <row r="4" spans="1:15">
      <c r="A4" s="21" t="s">
        <v>2</v>
      </c>
    </row>
    <row r="5" spans="1:15" ht="15" thickBot="1">
      <c r="A5" s="23"/>
    </row>
    <row r="6" spans="1:15" ht="15" thickBot="1">
      <c r="A6" s="21" t="s">
        <v>4</v>
      </c>
      <c r="D6" s="51">
        <f>40%</f>
        <v>0.4</v>
      </c>
      <c r="E6" s="21" t="s">
        <v>5</v>
      </c>
      <c r="M6" s="52">
        <v>20000000</v>
      </c>
      <c r="N6" s="21" t="s">
        <v>6</v>
      </c>
      <c r="O6" s="52">
        <v>5000000</v>
      </c>
    </row>
    <row r="7" spans="1:15" ht="15" thickBot="1">
      <c r="A7" s="21" t="s">
        <v>7</v>
      </c>
    </row>
    <row r="8" spans="1:15" ht="15" thickBot="1">
      <c r="A8" s="21" t="s">
        <v>8</v>
      </c>
      <c r="F8" s="51">
        <f>125%</f>
        <v>1.25</v>
      </c>
      <c r="G8" s="21" t="s">
        <v>9</v>
      </c>
    </row>
    <row r="9" spans="1:15" ht="15" thickBot="1">
      <c r="A9" s="21" t="s">
        <v>10</v>
      </c>
      <c r="E9" s="53">
        <v>6000000</v>
      </c>
      <c r="J9" s="56"/>
    </row>
    <row r="11" spans="1:15">
      <c r="A11" s="21" t="s">
        <v>11</v>
      </c>
    </row>
    <row r="12" spans="1:15" ht="15" thickBot="1"/>
    <row r="13" spans="1:15" ht="15" thickBot="1">
      <c r="A13" s="21" t="s">
        <v>12</v>
      </c>
      <c r="B13" s="52">
        <v>2000000</v>
      </c>
    </row>
    <row r="14" spans="1:15" ht="15" thickBot="1">
      <c r="A14" s="21" t="s">
        <v>13</v>
      </c>
      <c r="B14" s="52">
        <v>12000000</v>
      </c>
    </row>
    <row r="15" spans="1:15" ht="15" thickBot="1">
      <c r="A15" s="21" t="s">
        <v>14</v>
      </c>
      <c r="B15" s="52">
        <v>15000000</v>
      </c>
    </row>
    <row r="16" spans="1:15" ht="15" thickBot="1">
      <c r="A16" s="21" t="s">
        <v>15</v>
      </c>
      <c r="B16" s="52">
        <v>6000000</v>
      </c>
    </row>
    <row r="17" spans="1:9" ht="15" thickBot="1">
      <c r="A17" s="21" t="s">
        <v>16</v>
      </c>
      <c r="B17" s="52">
        <v>5000000</v>
      </c>
    </row>
    <row r="19" spans="1:9">
      <c r="A19" s="23" t="s">
        <v>186</v>
      </c>
    </row>
    <row r="21" spans="1:9">
      <c r="A21" s="23" t="s">
        <v>187</v>
      </c>
    </row>
    <row r="23" spans="1:9" ht="15" thickBot="1">
      <c r="A23" s="21" t="s">
        <v>188</v>
      </c>
    </row>
    <row r="24" spans="1:9" ht="15" thickBot="1">
      <c r="A24" s="21" t="s">
        <v>17</v>
      </c>
      <c r="C24" s="51">
        <v>0.85</v>
      </c>
    </row>
    <row r="25" spans="1:9" ht="15" thickBot="1">
      <c r="A25" s="21" t="s">
        <v>18</v>
      </c>
      <c r="F25" s="51">
        <f>20%</f>
        <v>0.2</v>
      </c>
    </row>
    <row r="26" spans="1:9" ht="15" thickBot="1">
      <c r="A26" s="21" t="s">
        <v>19</v>
      </c>
      <c r="F26" s="51">
        <f>40%</f>
        <v>0.4</v>
      </c>
      <c r="G26" s="21" t="s">
        <v>20</v>
      </c>
    </row>
    <row r="27" spans="1:9" ht="15" thickBot="1">
      <c r="A27" s="21" t="s">
        <v>189</v>
      </c>
      <c r="I27" s="29">
        <f>55%</f>
        <v>0.55000000000000004</v>
      </c>
    </row>
    <row r="28" spans="1:9" ht="15" thickBot="1">
      <c r="A28" s="67" t="s">
        <v>21</v>
      </c>
      <c r="B28" s="67"/>
      <c r="C28" s="67"/>
      <c r="D28" s="67"/>
      <c r="E28" s="67"/>
      <c r="F28" s="67"/>
      <c r="G28" s="67"/>
      <c r="H28" s="67"/>
      <c r="I28" s="52">
        <v>2500000</v>
      </c>
    </row>
    <row r="29" spans="1:9" ht="15" thickBot="1">
      <c r="A29" s="21" t="s">
        <v>22</v>
      </c>
      <c r="I29" s="52">
        <v>4000000</v>
      </c>
    </row>
  </sheetData>
  <mergeCells count="1">
    <mergeCell ref="A28:H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A2B14-2CA5-4764-B4C7-5B1FE39A8A8E}">
  <sheetPr>
    <tabColor theme="9" tint="0.59999389629810485"/>
  </sheetPr>
  <dimension ref="A1:N82"/>
  <sheetViews>
    <sheetView workbookViewId="0"/>
  </sheetViews>
  <sheetFormatPr defaultColWidth="8.88671875" defaultRowHeight="14.4"/>
  <cols>
    <col min="1" max="1" width="13.44140625" style="21" customWidth="1"/>
    <col min="2" max="2" width="17.33203125" style="21" customWidth="1"/>
    <col min="3" max="3" width="15.109375" style="21" customWidth="1"/>
    <col min="4" max="4" width="14.88671875" style="21" customWidth="1"/>
    <col min="5" max="5" width="19.33203125" style="21" customWidth="1"/>
    <col min="6" max="6" width="13.33203125" style="21" customWidth="1"/>
    <col min="7" max="7" width="8.109375" style="21" customWidth="1"/>
    <col min="8" max="8" width="2.33203125" style="21" customWidth="1"/>
    <col min="9" max="9" width="16.6640625" style="21" customWidth="1"/>
    <col min="10" max="10" width="13.109375" style="21" customWidth="1"/>
    <col min="11" max="11" width="8.88671875" style="21"/>
    <col min="12" max="12" width="13.33203125" style="21" customWidth="1"/>
    <col min="13" max="13" width="13.5546875" style="21" customWidth="1"/>
    <col min="14" max="14" width="13.33203125" style="21" bestFit="1" customWidth="1"/>
    <col min="15" max="15" width="11.33203125" style="21" customWidth="1"/>
    <col min="16" max="16" width="11.88671875" style="21" customWidth="1"/>
    <col min="17" max="16384" width="8.88671875" style="21"/>
  </cols>
  <sheetData>
    <row r="1" spans="1:14">
      <c r="A1" s="21" t="s">
        <v>199</v>
      </c>
    </row>
    <row r="3" spans="1:14">
      <c r="A3" s="22" t="s">
        <v>1</v>
      </c>
    </row>
    <row r="4" spans="1:14">
      <c r="A4" s="21" t="s">
        <v>2</v>
      </c>
    </row>
    <row r="5" spans="1:14" ht="15" thickBot="1">
      <c r="A5" s="23"/>
    </row>
    <row r="6" spans="1:14" ht="15" thickBot="1">
      <c r="A6" s="21" t="s">
        <v>4</v>
      </c>
      <c r="D6" s="51">
        <f>40%</f>
        <v>0.4</v>
      </c>
      <c r="E6" s="21" t="s">
        <v>5</v>
      </c>
      <c r="L6" s="52">
        <v>20000000</v>
      </c>
      <c r="M6" s="21" t="s">
        <v>6</v>
      </c>
      <c r="N6" s="52">
        <v>5000000</v>
      </c>
    </row>
    <row r="7" spans="1:14" ht="15" thickBot="1">
      <c r="A7" s="21" t="s">
        <v>7</v>
      </c>
    </row>
    <row r="8" spans="1:14" ht="15" thickBot="1">
      <c r="A8" s="21" t="s">
        <v>8</v>
      </c>
      <c r="E8" s="51">
        <f>125%</f>
        <v>1.25</v>
      </c>
      <c r="F8" s="21" t="s">
        <v>9</v>
      </c>
    </row>
    <row r="9" spans="1:14" ht="15" thickBot="1">
      <c r="A9" s="21" t="s">
        <v>10</v>
      </c>
      <c r="E9" s="53">
        <v>6000000</v>
      </c>
    </row>
    <row r="11" spans="1:14">
      <c r="A11" s="21" t="s">
        <v>11</v>
      </c>
    </row>
    <row r="12" spans="1:14" ht="15" thickBot="1"/>
    <row r="13" spans="1:14" ht="15" thickBot="1">
      <c r="A13" s="21" t="s">
        <v>12</v>
      </c>
      <c r="B13" s="52">
        <v>2000000</v>
      </c>
    </row>
    <row r="14" spans="1:14" ht="15" thickBot="1">
      <c r="A14" s="21" t="s">
        <v>13</v>
      </c>
      <c r="B14" s="52">
        <v>12000000</v>
      </c>
    </row>
    <row r="15" spans="1:14" ht="15" thickBot="1">
      <c r="A15" s="21" t="s">
        <v>14</v>
      </c>
      <c r="B15" s="52">
        <v>15000000</v>
      </c>
    </row>
    <row r="16" spans="1:14" ht="15" thickBot="1">
      <c r="A16" s="21" t="s">
        <v>15</v>
      </c>
      <c r="B16" s="52">
        <v>6000000</v>
      </c>
    </row>
    <row r="17" spans="1:14" ht="15" thickBot="1">
      <c r="A17" s="21" t="s">
        <v>16</v>
      </c>
      <c r="B17" s="52">
        <v>5000000</v>
      </c>
    </row>
    <row r="19" spans="1:14">
      <c r="A19" s="23" t="s">
        <v>186</v>
      </c>
    </row>
    <row r="21" spans="1:14" ht="15" thickBot="1">
      <c r="A21" s="21" t="s">
        <v>23</v>
      </c>
      <c r="F21" s="54">
        <f>D6</f>
        <v>0.4</v>
      </c>
      <c r="G21" s="21" t="s">
        <v>24</v>
      </c>
    </row>
    <row r="22" spans="1:14" ht="29.4" thickBot="1">
      <c r="C22" s="55" t="s">
        <v>25</v>
      </c>
      <c r="N22" s="56"/>
    </row>
    <row r="23" spans="1:14" ht="18" customHeight="1" thickBot="1">
      <c r="A23" s="21" t="s">
        <v>12</v>
      </c>
      <c r="B23" s="57">
        <f>B13</f>
        <v>2000000</v>
      </c>
      <c r="C23" s="52">
        <f>B23*$F$21</f>
        <v>800000</v>
      </c>
    </row>
    <row r="24" spans="1:14" ht="15" thickBot="1">
      <c r="A24" s="21" t="s">
        <v>13</v>
      </c>
      <c r="B24" s="57">
        <f t="shared" ref="B24:B27" si="0">B14</f>
        <v>12000000</v>
      </c>
      <c r="C24" s="52">
        <f>B24*$F$21</f>
        <v>4800000</v>
      </c>
    </row>
    <row r="25" spans="1:14" ht="15" thickBot="1">
      <c r="A25" s="21" t="s">
        <v>14</v>
      </c>
      <c r="B25" s="57">
        <f t="shared" si="0"/>
        <v>15000000</v>
      </c>
      <c r="C25" s="58">
        <f>B25*$F$21</f>
        <v>6000000</v>
      </c>
    </row>
    <row r="26" spans="1:14" ht="15" thickBot="1">
      <c r="A26" s="21" t="s">
        <v>15</v>
      </c>
      <c r="B26" s="57">
        <f t="shared" si="0"/>
        <v>6000000</v>
      </c>
      <c r="C26" s="52">
        <f>B26*$F$21</f>
        <v>2400000</v>
      </c>
    </row>
    <row r="27" spans="1:14" ht="15" thickBot="1">
      <c r="A27" s="21" t="s">
        <v>16</v>
      </c>
      <c r="B27" s="57">
        <f t="shared" si="0"/>
        <v>5000000</v>
      </c>
      <c r="C27" s="52">
        <f>B27*$F$21</f>
        <v>2000000</v>
      </c>
    </row>
    <row r="28" spans="1:14" ht="15" thickBot="1">
      <c r="A28" s="23" t="s">
        <v>26</v>
      </c>
      <c r="C28" s="59">
        <f>SUM(C23:C27)</f>
        <v>16000000</v>
      </c>
    </row>
    <row r="30" spans="1:14">
      <c r="A30" s="21" t="s">
        <v>27</v>
      </c>
    </row>
    <row r="31" spans="1:14">
      <c r="A31" s="23" t="s">
        <v>28</v>
      </c>
      <c r="C31" s="60">
        <f>SUM(B13:B17)</f>
        <v>40000000</v>
      </c>
    </row>
    <row r="32" spans="1:14">
      <c r="A32" s="23" t="s">
        <v>29</v>
      </c>
      <c r="C32" s="60">
        <f>C28</f>
        <v>16000000</v>
      </c>
    </row>
    <row r="33" spans="1:6">
      <c r="A33" s="23" t="s">
        <v>30</v>
      </c>
      <c r="C33" s="60">
        <f>C31-C32</f>
        <v>24000000</v>
      </c>
    </row>
    <row r="35" spans="1:6">
      <c r="A35" s="21" t="s">
        <v>31</v>
      </c>
      <c r="C35" s="60">
        <f>N6</f>
        <v>5000000</v>
      </c>
      <c r="D35" s="21" t="s">
        <v>32</v>
      </c>
    </row>
    <row r="36" spans="1:6" ht="15" thickBot="1">
      <c r="A36" s="21" t="s">
        <v>33</v>
      </c>
      <c r="F36" s="60">
        <f>L6</f>
        <v>20000000</v>
      </c>
    </row>
    <row r="37" spans="1:6" ht="15" thickBot="1">
      <c r="A37" s="21" t="s">
        <v>34</v>
      </c>
      <c r="E37" s="59">
        <f>C33-C35</f>
        <v>19000000</v>
      </c>
    </row>
    <row r="39" spans="1:6">
      <c r="A39" s="23" t="s">
        <v>187</v>
      </c>
    </row>
    <row r="41" spans="1:6">
      <c r="A41" s="21" t="s">
        <v>35</v>
      </c>
    </row>
    <row r="42" spans="1:6">
      <c r="A42" s="21" t="s">
        <v>36</v>
      </c>
    </row>
    <row r="44" spans="1:6">
      <c r="A44" s="21" t="s">
        <v>37</v>
      </c>
      <c r="D44" s="61">
        <f>E9</f>
        <v>6000000</v>
      </c>
    </row>
    <row r="45" spans="1:6">
      <c r="A45" s="21" t="s">
        <v>38</v>
      </c>
      <c r="D45" s="62">
        <f>E8</f>
        <v>1.25</v>
      </c>
    </row>
    <row r="46" spans="1:6">
      <c r="A46" s="21" t="s">
        <v>39</v>
      </c>
      <c r="D46" s="63">
        <f>E37</f>
        <v>19000000</v>
      </c>
    </row>
    <row r="47" spans="1:6">
      <c r="A47" s="21" t="s">
        <v>40</v>
      </c>
      <c r="D47" s="60">
        <f>L6</f>
        <v>20000000</v>
      </c>
    </row>
    <row r="48" spans="1:6" ht="15" thickBot="1"/>
    <row r="49" spans="1:8" ht="15" thickBot="1">
      <c r="A49" s="21" t="s">
        <v>41</v>
      </c>
      <c r="D49" s="59">
        <f>D44*D45*D46/D47</f>
        <v>7125000</v>
      </c>
    </row>
    <row r="51" spans="1:8">
      <c r="A51" s="21" t="s">
        <v>188</v>
      </c>
    </row>
    <row r="52" spans="1:8" ht="15" thickBot="1"/>
    <row r="53" spans="1:8" ht="15" thickBot="1">
      <c r="A53" s="21" t="s">
        <v>17</v>
      </c>
      <c r="C53" s="51">
        <v>0.85</v>
      </c>
    </row>
    <row r="54" spans="1:8" ht="15" thickBot="1">
      <c r="A54" s="21" t="s">
        <v>18</v>
      </c>
      <c r="F54" s="51">
        <f>20%</f>
        <v>0.2</v>
      </c>
    </row>
    <row r="55" spans="1:8" ht="15" thickBot="1">
      <c r="A55" s="21" t="s">
        <v>19</v>
      </c>
      <c r="F55" s="51">
        <f>40%</f>
        <v>0.4</v>
      </c>
      <c r="G55" s="21" t="s">
        <v>20</v>
      </c>
    </row>
    <row r="56" spans="1:8" ht="15" thickBot="1">
      <c r="A56" s="21" t="s">
        <v>189</v>
      </c>
      <c r="F56" s="64">
        <f>55%</f>
        <v>0.55000000000000004</v>
      </c>
    </row>
    <row r="57" spans="1:8" ht="15" thickBot="1">
      <c r="A57" s="24" t="s">
        <v>21</v>
      </c>
      <c r="B57" s="24"/>
      <c r="C57" s="24"/>
      <c r="D57" s="24"/>
      <c r="E57" s="24"/>
      <c r="F57" s="52">
        <v>2500000</v>
      </c>
      <c r="G57" s="24"/>
      <c r="H57" s="24"/>
    </row>
    <row r="58" spans="1:8" ht="15" thickBot="1">
      <c r="A58" s="21" t="s">
        <v>22</v>
      </c>
      <c r="F58" s="52">
        <v>4000000</v>
      </c>
    </row>
    <row r="60" spans="1:8">
      <c r="A60" s="21" t="s">
        <v>42</v>
      </c>
    </row>
    <row r="61" spans="1:8">
      <c r="A61" s="21" t="s">
        <v>43</v>
      </c>
    </row>
    <row r="62" spans="1:8">
      <c r="A62" s="21" t="s">
        <v>54</v>
      </c>
    </row>
    <row r="64" spans="1:8">
      <c r="A64" s="21" t="s">
        <v>44</v>
      </c>
    </row>
    <row r="65" spans="1:4">
      <c r="A65" s="21" t="s">
        <v>45</v>
      </c>
      <c r="B65" s="54">
        <f>C53</f>
        <v>0.85</v>
      </c>
    </row>
    <row r="66" spans="1:4">
      <c r="A66" s="21" t="s">
        <v>46</v>
      </c>
      <c r="B66" s="54">
        <f>F54</f>
        <v>0.2</v>
      </c>
    </row>
    <row r="67" spans="1:4">
      <c r="A67" s="21" t="s">
        <v>47</v>
      </c>
      <c r="B67" s="21">
        <f>F56</f>
        <v>0.55000000000000004</v>
      </c>
    </row>
    <row r="68" spans="1:4">
      <c r="A68" s="21" t="s">
        <v>48</v>
      </c>
      <c r="B68" s="21" t="s">
        <v>49</v>
      </c>
      <c r="C68" s="21">
        <f>1-B67</f>
        <v>0.44999999999999996</v>
      </c>
    </row>
    <row r="69" spans="1:4">
      <c r="A69" s="21" t="s">
        <v>50</v>
      </c>
      <c r="B69" s="54">
        <f>F55</f>
        <v>0.4</v>
      </c>
    </row>
    <row r="70" spans="1:4">
      <c r="A70" s="21" t="s">
        <v>51</v>
      </c>
      <c r="B70" s="60">
        <f>F57</f>
        <v>2500000</v>
      </c>
    </row>
    <row r="71" spans="1:4">
      <c r="A71" s="21" t="s">
        <v>55</v>
      </c>
      <c r="B71" s="60">
        <f>F58</f>
        <v>4000000</v>
      </c>
    </row>
    <row r="73" spans="1:4">
      <c r="A73" s="21" t="s">
        <v>52</v>
      </c>
    </row>
    <row r="74" spans="1:4">
      <c r="A74" s="21" t="s">
        <v>56</v>
      </c>
      <c r="D74" s="54"/>
    </row>
    <row r="75" spans="1:4">
      <c r="A75" s="21" t="s">
        <v>57</v>
      </c>
    </row>
    <row r="76" spans="1:4">
      <c r="A76" s="21" t="s">
        <v>58</v>
      </c>
    </row>
    <row r="77" spans="1:4" ht="15" thickBot="1">
      <c r="A77" s="21" t="s">
        <v>59</v>
      </c>
    </row>
    <row r="78" spans="1:4" ht="15" thickBot="1">
      <c r="A78" s="21" t="s">
        <v>53</v>
      </c>
      <c r="B78" s="65">
        <f>(B70+B65*(1-B66)*B67-B69*(B71*C68))/(1-B66+B69*C68*(B66-1))</f>
        <v>2713415.2042682925</v>
      </c>
    </row>
    <row r="82" spans="1:1">
      <c r="A82" s="6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C0B5A-BF63-404E-BA95-A3E72BEE79ED}">
  <sheetPr>
    <tabColor theme="5" tint="0.39997558519241921"/>
  </sheetPr>
  <dimension ref="A1:D26"/>
  <sheetViews>
    <sheetView workbookViewId="0"/>
  </sheetViews>
  <sheetFormatPr defaultColWidth="8.88671875" defaultRowHeight="14.4"/>
  <cols>
    <col min="1" max="1" width="23.88671875" style="21" customWidth="1"/>
    <col min="2" max="2" width="23.33203125" style="21" customWidth="1"/>
    <col min="3" max="3" width="27" style="21" customWidth="1"/>
    <col min="4" max="4" width="27.44140625" style="21" customWidth="1"/>
    <col min="5" max="16384" width="8.88671875" style="21"/>
  </cols>
  <sheetData>
    <row r="1" spans="1:4">
      <c r="A1" s="21" t="s">
        <v>199</v>
      </c>
    </row>
    <row r="3" spans="1:4">
      <c r="A3" s="22" t="s">
        <v>1</v>
      </c>
    </row>
    <row r="4" spans="1:4">
      <c r="A4" s="23" t="s">
        <v>3</v>
      </c>
    </row>
    <row r="6" spans="1:4">
      <c r="A6" s="50" t="s">
        <v>87</v>
      </c>
    </row>
    <row r="7" spans="1:4">
      <c r="A7" s="24" t="s">
        <v>86</v>
      </c>
    </row>
    <row r="8" spans="1:4" ht="15" thickBot="1"/>
    <row r="9" spans="1:4" ht="15" thickBot="1">
      <c r="A9" s="25" t="s">
        <v>85</v>
      </c>
      <c r="B9" s="26" t="s">
        <v>84</v>
      </c>
      <c r="C9" s="26" t="s">
        <v>83</v>
      </c>
      <c r="D9" s="26" t="s">
        <v>82</v>
      </c>
    </row>
    <row r="10" spans="1:4" ht="15" thickBot="1">
      <c r="A10" s="27" t="s">
        <v>81</v>
      </c>
      <c r="B10" s="28">
        <v>36000000</v>
      </c>
      <c r="C10" s="28">
        <v>25000000</v>
      </c>
      <c r="D10" s="28">
        <v>81000000</v>
      </c>
    </row>
    <row r="11" spans="1:4" ht="15" thickBot="1"/>
    <row r="12" spans="1:4" ht="15" thickBot="1">
      <c r="A12" s="21" t="s">
        <v>80</v>
      </c>
      <c r="D12" s="29">
        <v>0.48</v>
      </c>
    </row>
    <row r="14" spans="1:4">
      <c r="A14" s="23" t="s">
        <v>174</v>
      </c>
    </row>
    <row r="16" spans="1:4">
      <c r="A16" s="21" t="s">
        <v>178</v>
      </c>
    </row>
    <row r="18" spans="1:2">
      <c r="A18" s="21" t="s">
        <v>182</v>
      </c>
    </row>
    <row r="26" spans="1:2">
      <c r="B26" s="21" t="s">
        <v>100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D269-90EB-438E-95D4-03F60B4E4C46}">
  <sheetPr>
    <tabColor theme="9" tint="0.59999389629810485"/>
  </sheetPr>
  <dimension ref="A1:E44"/>
  <sheetViews>
    <sheetView zoomScaleNormal="100" workbookViewId="0"/>
  </sheetViews>
  <sheetFormatPr defaultColWidth="8.88671875" defaultRowHeight="14.4"/>
  <cols>
    <col min="1" max="1" width="23.5546875" style="21" customWidth="1"/>
    <col min="2" max="2" width="24.88671875" style="21" customWidth="1"/>
    <col min="3" max="3" width="20" style="21" customWidth="1"/>
    <col min="4" max="6" width="23.5546875" style="21" customWidth="1"/>
    <col min="7" max="16384" width="8.88671875" style="21"/>
  </cols>
  <sheetData>
    <row r="1" spans="1:4">
      <c r="A1" s="21" t="s">
        <v>199</v>
      </c>
    </row>
    <row r="3" spans="1:4">
      <c r="A3" s="22" t="s">
        <v>1</v>
      </c>
    </row>
    <row r="4" spans="1:4">
      <c r="A4" s="23" t="s">
        <v>3</v>
      </c>
    </row>
    <row r="5" spans="1:4">
      <c r="A5" s="23"/>
    </row>
    <row r="6" spans="1:4">
      <c r="A6" s="24" t="s">
        <v>86</v>
      </c>
    </row>
    <row r="7" spans="1:4" ht="15" thickBot="1"/>
    <row r="8" spans="1:4" ht="15" thickBot="1">
      <c r="A8" s="25" t="s">
        <v>85</v>
      </c>
      <c r="B8" s="26" t="s">
        <v>84</v>
      </c>
      <c r="C8" s="26" t="s">
        <v>83</v>
      </c>
      <c r="D8" s="26" t="s">
        <v>82</v>
      </c>
    </row>
    <row r="9" spans="1:4" ht="15" thickBot="1">
      <c r="A9" s="27" t="s">
        <v>81</v>
      </c>
      <c r="B9" s="28">
        <v>36000000</v>
      </c>
      <c r="C9" s="28">
        <v>25000000</v>
      </c>
      <c r="D9" s="28">
        <v>81000000</v>
      </c>
    </row>
    <row r="10" spans="1:4" ht="15" thickBot="1"/>
    <row r="11" spans="1:4" ht="15" thickBot="1">
      <c r="A11" s="21" t="s">
        <v>80</v>
      </c>
      <c r="D11" s="29">
        <v>0.48</v>
      </c>
    </row>
    <row r="13" spans="1:4">
      <c r="A13" s="23" t="s">
        <v>174</v>
      </c>
    </row>
    <row r="15" spans="1:4">
      <c r="A15" s="21" t="s">
        <v>99</v>
      </c>
    </row>
    <row r="16" spans="1:4" ht="15" thickBot="1">
      <c r="A16" s="21" t="s">
        <v>98</v>
      </c>
    </row>
    <row r="17" spans="1:5" ht="15" thickBot="1">
      <c r="A17" s="21" t="s">
        <v>97</v>
      </c>
      <c r="C17" s="29">
        <f>SQRT(D9)</f>
        <v>9000</v>
      </c>
    </row>
    <row r="18" spans="1:5" ht="15" thickBot="1">
      <c r="A18" s="21" t="s">
        <v>96</v>
      </c>
      <c r="C18" s="29">
        <f>D11/C17</f>
        <v>5.3333333333333333E-5</v>
      </c>
    </row>
    <row r="19" spans="1:5" ht="15" thickBot="1"/>
    <row r="20" spans="1:5" ht="15" thickBot="1">
      <c r="A20" s="30" t="s">
        <v>95</v>
      </c>
      <c r="B20" s="31"/>
      <c r="C20" s="31"/>
      <c r="D20" s="31"/>
      <c r="E20" s="32"/>
    </row>
    <row r="21" spans="1:5">
      <c r="A21" s="33"/>
      <c r="B21" s="34" t="s">
        <v>92</v>
      </c>
      <c r="C21" s="34" t="s">
        <v>91</v>
      </c>
      <c r="D21" s="34" t="s">
        <v>90</v>
      </c>
      <c r="E21" s="35" t="s">
        <v>89</v>
      </c>
    </row>
    <row r="22" spans="1:5" ht="15" thickBot="1">
      <c r="A22" s="36"/>
      <c r="B22" s="37"/>
      <c r="C22" s="37"/>
      <c r="D22" s="37"/>
      <c r="E22" s="38" t="s">
        <v>88</v>
      </c>
    </row>
    <row r="23" spans="1:5" ht="15.75" customHeight="1">
      <c r="A23" s="33" t="s">
        <v>175</v>
      </c>
      <c r="B23" s="39">
        <f>D9-C9</f>
        <v>56000000</v>
      </c>
      <c r="C23" s="39">
        <f>D9-B9</f>
        <v>45000000</v>
      </c>
      <c r="D23" s="39">
        <f>B23+C23</f>
        <v>101000000</v>
      </c>
      <c r="E23" s="39">
        <f>D9</f>
        <v>81000000</v>
      </c>
    </row>
    <row r="24" spans="1:5" ht="15.75" customHeight="1" thickBot="1">
      <c r="A24" s="36"/>
      <c r="B24" s="40"/>
      <c r="C24" s="40"/>
      <c r="D24" s="40"/>
      <c r="E24" s="40"/>
    </row>
    <row r="25" spans="1:5" ht="15" customHeight="1">
      <c r="A25" s="33" t="s">
        <v>176</v>
      </c>
      <c r="B25" s="41">
        <f>$C$18</f>
        <v>5.3333333333333333E-5</v>
      </c>
      <c r="C25" s="41">
        <f>$C$18</f>
        <v>5.3333333333333333E-5</v>
      </c>
      <c r="D25" s="41" t="s">
        <v>0</v>
      </c>
      <c r="E25" s="41">
        <f>$C$18</f>
        <v>5.3333333333333333E-5</v>
      </c>
    </row>
    <row r="26" spans="1:5" ht="15.75" customHeight="1" thickBot="1">
      <c r="A26" s="36"/>
      <c r="B26" s="42"/>
      <c r="C26" s="42"/>
      <c r="D26" s="42"/>
      <c r="E26" s="42"/>
    </row>
    <row r="27" spans="1:5" ht="15" customHeight="1">
      <c r="A27" s="33" t="s">
        <v>177</v>
      </c>
      <c r="B27" s="43">
        <f>B23*B25</f>
        <v>2986.6666666666665</v>
      </c>
      <c r="C27" s="43">
        <f>C23*C25</f>
        <v>2400</v>
      </c>
      <c r="D27" s="43">
        <f>B27+C27</f>
        <v>5386.6666666666661</v>
      </c>
      <c r="E27" s="43">
        <f>E23*E25</f>
        <v>4320</v>
      </c>
    </row>
    <row r="28" spans="1:5" ht="15.75" customHeight="1" thickBot="1">
      <c r="A28" s="36"/>
      <c r="B28" s="44"/>
      <c r="C28" s="44"/>
      <c r="D28" s="44"/>
      <c r="E28" s="44"/>
    </row>
    <row r="30" spans="1:5">
      <c r="A30" s="21" t="s">
        <v>178</v>
      </c>
    </row>
    <row r="31" spans="1:5">
      <c r="A31" s="21" t="s">
        <v>94</v>
      </c>
    </row>
    <row r="32" spans="1:5" ht="15" thickBot="1"/>
    <row r="33" spans="1:5" ht="15" thickBot="1">
      <c r="A33" s="30" t="s">
        <v>93</v>
      </c>
      <c r="B33" s="31"/>
      <c r="C33" s="31"/>
      <c r="D33" s="31"/>
      <c r="E33" s="32"/>
    </row>
    <row r="34" spans="1:5">
      <c r="A34" s="33"/>
      <c r="B34" s="34" t="s">
        <v>92</v>
      </c>
      <c r="C34" s="34" t="s">
        <v>91</v>
      </c>
      <c r="D34" s="34" t="s">
        <v>90</v>
      </c>
      <c r="E34" s="35" t="s">
        <v>89</v>
      </c>
    </row>
    <row r="35" spans="1:5" ht="15" thickBot="1">
      <c r="A35" s="36"/>
      <c r="B35" s="37"/>
      <c r="C35" s="37"/>
      <c r="D35" s="37"/>
      <c r="E35" s="38" t="s">
        <v>88</v>
      </c>
    </row>
    <row r="36" spans="1:5" ht="16.5" customHeight="1">
      <c r="A36" s="33" t="s">
        <v>179</v>
      </c>
      <c r="B36" s="39">
        <f>SQRT(D9)-SQRT(C9)</f>
        <v>4000</v>
      </c>
      <c r="C36" s="45">
        <f>SQRT(D9)-SQRT(B9)</f>
        <v>3000</v>
      </c>
      <c r="D36" s="39">
        <f>B36+C36</f>
        <v>7000</v>
      </c>
      <c r="E36" s="39">
        <f>SQRT(D9)</f>
        <v>9000</v>
      </c>
    </row>
    <row r="37" spans="1:5" ht="15" thickBot="1">
      <c r="A37" s="36"/>
      <c r="B37" s="40"/>
      <c r="C37" s="46"/>
      <c r="D37" s="40"/>
      <c r="E37" s="40"/>
    </row>
    <row r="38" spans="1:5" ht="15" thickBot="1">
      <c r="A38" s="47" t="s">
        <v>180</v>
      </c>
      <c r="B38" s="48">
        <f>$D$11</f>
        <v>0.48</v>
      </c>
      <c r="C38" s="48">
        <f>$D$11</f>
        <v>0.48</v>
      </c>
      <c r="D38" s="48" t="s">
        <v>0</v>
      </c>
      <c r="E38" s="48">
        <f>$D$11</f>
        <v>0.48</v>
      </c>
    </row>
    <row r="39" spans="1:5" ht="15" thickBot="1">
      <c r="A39" s="47" t="s">
        <v>181</v>
      </c>
      <c r="B39" s="49">
        <f>B36*B38</f>
        <v>1920</v>
      </c>
      <c r="C39" s="49">
        <f>C36*C38</f>
        <v>1440</v>
      </c>
      <c r="D39" s="49">
        <f>B39+C39</f>
        <v>3360</v>
      </c>
      <c r="E39" s="49">
        <f>E36*E38</f>
        <v>4320</v>
      </c>
    </row>
    <row r="41" spans="1:5">
      <c r="A41" s="21" t="s">
        <v>182</v>
      </c>
    </row>
    <row r="42" spans="1:5">
      <c r="A42" s="21" t="s">
        <v>183</v>
      </c>
    </row>
    <row r="43" spans="1:5">
      <c r="A43" s="21" t="s">
        <v>184</v>
      </c>
    </row>
    <row r="44" spans="1:5">
      <c r="A44" s="21" t="s">
        <v>185</v>
      </c>
    </row>
  </sheetData>
  <mergeCells count="30">
    <mergeCell ref="C23:C24"/>
    <mergeCell ref="E25:E26"/>
    <mergeCell ref="A23:A24"/>
    <mergeCell ref="B23:B24"/>
    <mergeCell ref="D23:D24"/>
    <mergeCell ref="E23:E24"/>
    <mergeCell ref="A20:E20"/>
    <mergeCell ref="A21:A22"/>
    <mergeCell ref="B21:B22"/>
    <mergeCell ref="C21:C22"/>
    <mergeCell ref="D21:D22"/>
    <mergeCell ref="A33:E33"/>
    <mergeCell ref="A25:A26"/>
    <mergeCell ref="D25:D26"/>
    <mergeCell ref="A27:A28"/>
    <mergeCell ref="B27:B28"/>
    <mergeCell ref="C27:C28"/>
    <mergeCell ref="D27:D28"/>
    <mergeCell ref="E27:E28"/>
    <mergeCell ref="B25:B26"/>
    <mergeCell ref="C25:C26"/>
    <mergeCell ref="E36:E37"/>
    <mergeCell ref="B36:B37"/>
    <mergeCell ref="C36:C37"/>
    <mergeCell ref="A34:A35"/>
    <mergeCell ref="B34:B35"/>
    <mergeCell ref="C34:C35"/>
    <mergeCell ref="D34:D35"/>
    <mergeCell ref="A36:A37"/>
    <mergeCell ref="D36:D37"/>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3000CA-3696-4FBB-A62A-15CBB2BF0814}"/>
</file>

<file path=customXml/itemProps2.xml><?xml version="1.0" encoding="utf-8"?>
<ds:datastoreItem xmlns:ds="http://schemas.openxmlformats.org/officeDocument/2006/customXml" ds:itemID="{42CB691D-A3B1-4769-9F42-5BF56D9D0A91}"/>
</file>

<file path=customXml/itemProps3.xml><?xml version="1.0" encoding="utf-8"?>
<ds:datastoreItem xmlns:ds="http://schemas.openxmlformats.org/officeDocument/2006/customXml" ds:itemID="{360739A7-1CC6-4DF3-81EC-81711EE6BEE1}"/>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vt:lpstr>
      <vt:lpstr>Q1 Hardy LO 1</vt:lpstr>
      <vt:lpstr>A1 Hardy LO 1</vt:lpstr>
      <vt:lpstr>Q2 Hardy LO 1</vt:lpstr>
      <vt:lpstr>A2 Hardy LO 1</vt:lpstr>
      <vt:lpstr>Q Friedland 34 LO 6</vt:lpstr>
      <vt:lpstr>A Friedland 34 LO 6</vt:lpstr>
      <vt:lpstr>Q Clark LO 7</vt:lpstr>
      <vt:lpstr>A Clark LO 7</vt:lpstr>
      <vt:lpstr>Q Mango LO 8d</vt:lpstr>
      <vt:lpstr>A Mango LO 8d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2025-07-01T02:41:20Z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