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societyofactuaries-my.sharepoint.com/personal/dnorris_soa_org/Documents/Documents/Projects/2025-26 Curriculum/FINAL GUIDED EXAMPLES/Fully Assembled/"/>
    </mc:Choice>
  </mc:AlternateContent>
  <xr:revisionPtr revIDLastSave="11" documentId="8_{68B5EDE5-A116-405E-8E8C-07F34E1A87BF}" xr6:coauthVersionLast="47" xr6:coauthVersionMax="47" xr10:uidLastSave="{C68F2DAC-E9E8-45FC-B5F0-4807DD980739}"/>
  <bookViews>
    <workbookView xWindow="28680" yWindow="-120" windowWidth="38640" windowHeight="21120" tabRatio="724" xr2:uid="{C9E6F501-AC19-4A27-8F06-AE333B4F690C}"/>
  </bookViews>
  <sheets>
    <sheet name="Cover " sheetId="32" r:id="rId1"/>
    <sheet name="Q1" sheetId="31" r:id="rId2"/>
    <sheet name="Q1 with solution" sheetId="2" r:id="rId3"/>
    <sheet name="Q2" sheetId="30" r:id="rId4"/>
    <sheet name="Q2 with solution" sheetId="4" r:id="rId5"/>
    <sheet name="Q3" sheetId="29" r:id="rId6"/>
    <sheet name="Q3 with solution" sheetId="6" r:id="rId7"/>
    <sheet name="Q4" sheetId="28" r:id="rId8"/>
    <sheet name="Q4 with solution" sheetId="8" r:id="rId9"/>
    <sheet name="Q5" sheetId="27" r:id="rId10"/>
    <sheet name="Q5 with solution" sheetId="9" r:id="rId11"/>
    <sheet name="Q6" sheetId="26" r:id="rId12"/>
    <sheet name="Q6 with solution" sheetId="11" r:id="rId13"/>
    <sheet name="Q7" sheetId="25" r:id="rId14"/>
    <sheet name="Q7 with solution" sheetId="13" r:id="rId15"/>
    <sheet name="Q8" sheetId="24" r:id="rId16"/>
    <sheet name="Q8 with solution" sheetId="19" r:id="rId17"/>
    <sheet name="Q9" sheetId="23" r:id="rId18"/>
    <sheet name="Q9 with solution" sheetId="18" r:id="rId19"/>
    <sheet name="Q10 " sheetId="22" r:id="rId20"/>
    <sheet name="Q10 with Solution" sheetId="17" r:id="rId2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19" l="1"/>
  <c r="B39" i="19" s="1"/>
  <c r="B48" i="19" s="1"/>
  <c r="C37" i="19"/>
  <c r="C39" i="19" s="1"/>
  <c r="D37" i="19"/>
  <c r="E37" i="19"/>
  <c r="E39" i="19" s="1"/>
  <c r="F37" i="19"/>
  <c r="F39" i="19" s="1"/>
  <c r="F48" i="19" s="1"/>
  <c r="G37" i="19"/>
  <c r="G39" i="19" s="1"/>
  <c r="G48" i="19" s="1"/>
  <c r="H37" i="19"/>
  <c r="H39" i="19" s="1"/>
  <c r="H41" i="19" s="1"/>
  <c r="I37" i="19"/>
  <c r="I39" i="19" s="1"/>
  <c r="I41" i="19" s="1"/>
  <c r="J37" i="19"/>
  <c r="J39" i="19" s="1"/>
  <c r="J41" i="19" s="1"/>
  <c r="K37" i="19"/>
  <c r="K39" i="19" s="1"/>
  <c r="K41" i="19" s="1"/>
  <c r="L37" i="19"/>
  <c r="L39" i="19" s="1"/>
  <c r="L41" i="19" s="1"/>
  <c r="M37" i="19"/>
  <c r="M39" i="19" s="1"/>
  <c r="M41" i="19" s="1"/>
  <c r="N37" i="19"/>
  <c r="N39" i="19" s="1"/>
  <c r="N41" i="19" s="1"/>
  <c r="O37" i="19"/>
  <c r="O39" i="19" s="1"/>
  <c r="O48" i="19" s="1"/>
  <c r="P37" i="19"/>
  <c r="P39" i="19" s="1"/>
  <c r="P48" i="19" s="1"/>
  <c r="Q37" i="19"/>
  <c r="Q39" i="19" s="1"/>
  <c r="Q48" i="19" s="1"/>
  <c r="R37" i="19"/>
  <c r="R39" i="19" s="1"/>
  <c r="R48" i="19" s="1"/>
  <c r="S37" i="19"/>
  <c r="S39" i="19" s="1"/>
  <c r="S48" i="19" s="1"/>
  <c r="T37" i="19"/>
  <c r="T39" i="19" s="1"/>
  <c r="T48" i="19" s="1"/>
  <c r="U37" i="19"/>
  <c r="F20" i="13"/>
  <c r="F23" i="13" s="1"/>
  <c r="C71" i="29"/>
  <c r="U39" i="24"/>
  <c r="T39" i="24"/>
  <c r="S39" i="24"/>
  <c r="R39" i="24"/>
  <c r="Q39" i="24"/>
  <c r="P39" i="24"/>
  <c r="O39" i="24"/>
  <c r="N39" i="24"/>
  <c r="M39" i="24"/>
  <c r="L39" i="24"/>
  <c r="K39" i="24"/>
  <c r="J39" i="24"/>
  <c r="I39" i="24"/>
  <c r="H39" i="24"/>
  <c r="G39" i="24"/>
  <c r="F39" i="24"/>
  <c r="E39" i="24"/>
  <c r="D39" i="24"/>
  <c r="C39" i="24"/>
  <c r="B39" i="24"/>
  <c r="D23" i="17"/>
  <c r="C17" i="9"/>
  <c r="D17" i="9"/>
  <c r="E17" i="9"/>
  <c r="F17" i="9"/>
  <c r="G17" i="9"/>
  <c r="B44" i="9" s="1"/>
  <c r="B45" i="9" s="1"/>
  <c r="B46" i="9" s="1"/>
  <c r="H17" i="9"/>
  <c r="I17" i="9"/>
  <c r="J17" i="9"/>
  <c r="K17" i="9"/>
  <c r="L17" i="9"/>
  <c r="M17" i="9"/>
  <c r="N17" i="9"/>
  <c r="O17" i="9"/>
  <c r="P17" i="9"/>
  <c r="Q17" i="9"/>
  <c r="R17" i="9"/>
  <c r="S17" i="9"/>
  <c r="T17" i="9"/>
  <c r="U17" i="9"/>
  <c r="V17" i="9"/>
  <c r="W17" i="9"/>
  <c r="X17" i="9"/>
  <c r="Y17" i="9"/>
  <c r="Z17" i="9"/>
  <c r="AA17" i="9"/>
  <c r="AB17" i="9"/>
  <c r="AC17" i="9"/>
  <c r="AD17" i="9"/>
  <c r="AE17" i="9"/>
  <c r="AF17" i="9"/>
  <c r="AG17" i="9"/>
  <c r="AH17" i="9"/>
  <c r="AI17" i="9"/>
  <c r="AJ17" i="9"/>
  <c r="AK17" i="9"/>
  <c r="AL17" i="9"/>
  <c r="AM17" i="9"/>
  <c r="AN17" i="9"/>
  <c r="AO17" i="9"/>
  <c r="AP17" i="9"/>
  <c r="AQ17" i="9"/>
  <c r="AR17" i="9"/>
  <c r="AS17" i="9"/>
  <c r="AT17" i="9"/>
  <c r="AU17" i="9"/>
  <c r="AV17" i="9"/>
  <c r="AW17" i="9"/>
  <c r="AX17" i="9"/>
  <c r="AY17" i="9"/>
  <c r="B17" i="9"/>
  <c r="D39" i="19"/>
  <c r="D48" i="19" s="1"/>
  <c r="C51" i="17"/>
  <c r="C50" i="17"/>
  <c r="C49" i="17"/>
  <c r="C48" i="17"/>
  <c r="C47" i="17"/>
  <c r="C46" i="17"/>
  <c r="C45" i="17"/>
  <c r="C44" i="17"/>
  <c r="C43" i="17"/>
  <c r="C42" i="17"/>
  <c r="D15" i="17"/>
  <c r="D16" i="17"/>
  <c r="D17" i="17"/>
  <c r="D18" i="17"/>
  <c r="D19" i="17"/>
  <c r="D20" i="17"/>
  <c r="D21" i="17"/>
  <c r="D22" i="17"/>
  <c r="D14" i="17"/>
  <c r="C23" i="17"/>
  <c r="C14" i="17"/>
  <c r="C15" i="17"/>
  <c r="C16" i="17"/>
  <c r="C17" i="17"/>
  <c r="C18" i="17"/>
  <c r="C19" i="17"/>
  <c r="C20" i="17"/>
  <c r="C21" i="17"/>
  <c r="C22" i="17"/>
  <c r="F18" i="13"/>
  <c r="E9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13" i="8"/>
  <c r="C67" i="6"/>
  <c r="C68" i="6"/>
  <c r="B68" i="6"/>
  <c r="B67"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AJ15" i="6"/>
  <c r="AK15" i="6"/>
  <c r="AL15" i="6"/>
  <c r="AM15" i="6"/>
  <c r="AN15" i="6"/>
  <c r="AO15" i="6"/>
  <c r="B15" i="6"/>
  <c r="E48" i="19" l="1"/>
  <c r="U39" i="19"/>
  <c r="U48" i="19" s="1"/>
  <c r="C41" i="19"/>
  <c r="C70" i="29"/>
  <c r="C73" i="29" s="1"/>
  <c r="B34" i="25"/>
  <c r="B47" i="9"/>
  <c r="B48" i="9" s="1"/>
  <c r="B50" i="9" s="1"/>
  <c r="B26" i="9"/>
  <c r="B25" i="9"/>
  <c r="B27" i="9" s="1"/>
  <c r="F19" i="13"/>
  <c r="B34" i="13" s="1"/>
  <c r="B41" i="19"/>
  <c r="D46" i="19" s="1"/>
  <c r="O41" i="19"/>
  <c r="P41" i="19"/>
  <c r="Q41" i="19"/>
  <c r="D41" i="19"/>
  <c r="C48" i="19"/>
  <c r="K48" i="19"/>
  <c r="F41" i="19"/>
  <c r="R41" i="19"/>
  <c r="S41" i="19"/>
  <c r="H48" i="19"/>
  <c r="I48" i="19"/>
  <c r="J48" i="19"/>
  <c r="E41" i="19"/>
  <c r="L48" i="19"/>
  <c r="M48" i="19"/>
  <c r="N48" i="19"/>
  <c r="T41" i="19"/>
  <c r="G41" i="19"/>
  <c r="U41" i="19"/>
  <c r="G56" i="17"/>
  <c r="H36" i="17"/>
  <c r="G30" i="17"/>
  <c r="H38" i="17" s="1"/>
  <c r="B77" i="8"/>
  <c r="D77" i="8"/>
  <c r="D20" i="6"/>
  <c r="H31" i="6" s="1"/>
  <c r="H34" i="6" s="1"/>
  <c r="I57" i="17" l="1"/>
  <c r="F22" i="13"/>
  <c r="F24" i="13" s="1"/>
  <c r="B49" i="9"/>
  <c r="D21" i="6"/>
  <c r="D22" i="6"/>
  <c r="H33" i="6" l="1"/>
  <c r="H35" i="6" l="1"/>
  <c r="C71" i="6"/>
  <c r="C70" i="6"/>
  <c r="C73" i="6" s="1"/>
</calcChain>
</file>

<file path=xl/sharedStrings.xml><?xml version="1.0" encoding="utf-8"?>
<sst xmlns="http://schemas.openxmlformats.org/spreadsheetml/2006/main" count="771" uniqueCount="507">
  <si>
    <t>1. A small block of term life policies with reserves of about $100 Million</t>
  </si>
  <si>
    <t>a. There is no surrender charge after one year</t>
  </si>
  <si>
    <t>30% Private Loans with average terms of 10 years</t>
  </si>
  <si>
    <t>30% Investment grade corporate bond with average duration of 7 years.</t>
  </si>
  <si>
    <t>40% Mortgage Backed Securities</t>
  </si>
  <si>
    <t>A: Identify three concerns with the ALM risk of ABC Life</t>
  </si>
  <si>
    <t xml:space="preserve">The Chief Actuary is disussing risk with a rating agency.  The Chief Actuary says </t>
  </si>
  <si>
    <t>Risk Management Lessons Learned From SVB, Gil, GARP (2023)</t>
  </si>
  <si>
    <t xml:space="preserve">
What Can Insurers and Pension Funds Learn from Bank Failures?</t>
  </si>
  <si>
    <t>R1</t>
  </si>
  <si>
    <t>R2</t>
  </si>
  <si>
    <t>3. The asset portolfio is heavily invested in  assets with limited liquidity</t>
  </si>
  <si>
    <t xml:space="preserve"> *The chief actary  has too much confidence in complex models</t>
  </si>
  <si>
    <t>* The risk assessment is to focused on a single measure (earnings)</t>
  </si>
  <si>
    <t>1. Reallocate to shorter maturiry assets with higher liquidity</t>
  </si>
  <si>
    <t xml:space="preserve">2. Alter product design to discourage disintermediation (e.g. add a longer surrender period or a Market Value Adjustment). </t>
  </si>
  <si>
    <t>3. Consider raising capital to protect against adverse scenarios</t>
  </si>
  <si>
    <t>1. Most of the liabilities  (1.3 Billion) can be withdrawn on short notice since the surrender period will have ended</t>
  </si>
  <si>
    <t>2. The  asset portfolio will lose value under a rising rate scenario while the crediting floor may come into play</t>
  </si>
  <si>
    <t>4. Change risk assessments to view multiple  metrics such  Stat Balance sheet,  economic balance sheet, etc</t>
  </si>
  <si>
    <t>R1, p 5</t>
  </si>
  <si>
    <t>R1, p 5; R2, p3</t>
  </si>
  <si>
    <t>R1, p9</t>
  </si>
  <si>
    <t>R2, p4</t>
  </si>
  <si>
    <t>R1, p6</t>
  </si>
  <si>
    <t>R2, p3</t>
  </si>
  <si>
    <t xml:space="preserve">5. Add simplified stress scenarios to risk assessment </t>
  </si>
  <si>
    <t>6. Diversify the product mix and customer base</t>
  </si>
  <si>
    <t>XYZ Life sell a mix of fixed deferred annuities and Universal Life products.</t>
  </si>
  <si>
    <t>Depending on the issue year, the general account products have credited rate gaurantees that vary from 1.00% to 4.00%</t>
  </si>
  <si>
    <t>Policy loans are allowed and loaned funds earn 3% interest.</t>
  </si>
  <si>
    <t>All products are general account products and allow premiums to be paid in any amount as long as the contract is in force.</t>
  </si>
  <si>
    <t>2. The average cash flow for each month is calculated</t>
  </si>
  <si>
    <t>B:  Critique this method and propose a more appropriate methodology</t>
  </si>
  <si>
    <t>C: Given the options held by the policy holders, suggest two kinds of derivatives that XYZ Life should consider using.</t>
  </si>
  <si>
    <t>Policy-holders:</t>
  </si>
  <si>
    <t>1. The crediting gaurantee is an interest rate option</t>
  </si>
  <si>
    <t>2. The ability to surrender the contract for cash</t>
  </si>
  <si>
    <t>3. The ability to alter premiums</t>
  </si>
  <si>
    <t>4. The ability to borrow funds</t>
  </si>
  <si>
    <t>5. The fixed interest rate on borrowed funds is an interest rate option</t>
  </si>
  <si>
    <t>XYZ -Life:</t>
  </si>
  <si>
    <t>1. The ability to set the crediting rate (subject to the gaurantee).</t>
  </si>
  <si>
    <t>2. The ability to change expense and COI charges</t>
  </si>
  <si>
    <t>Since the cash flows are interest sensitive, a single scenario is not appropriate. So it's good that 10,000 scenarios are used</t>
  </si>
  <si>
    <t>The present value weighted calculation however is incorrect. That is not the duration of the liabilities</t>
  </si>
  <si>
    <t>1. Policy cash flows are projected using an Actuarial Projection Software over 10,000 real-world interest rate scenarios</t>
  </si>
  <si>
    <t>1. The scenarios should be risk-neutral, not real-world</t>
  </si>
  <si>
    <t>2. The cash flows for each scenario should be discounted using the interest rates of that scenario</t>
  </si>
  <si>
    <t>3. The value of the liabilites is then calculated as the average discounted value across the scenarios</t>
  </si>
  <si>
    <t>Additionally, XYX Life should consider calculating one or more of</t>
  </si>
  <si>
    <t>1. Effective Convexity</t>
  </si>
  <si>
    <t>2. Key Rate Durations (effective)</t>
  </si>
  <si>
    <t>Rubin 237</t>
  </si>
  <si>
    <t>Rubin 238</t>
  </si>
  <si>
    <t>Hatfield 36</t>
  </si>
  <si>
    <t>Hatfield 35</t>
  </si>
  <si>
    <t>Hatfield 38</t>
  </si>
  <si>
    <t>Hatfield 39</t>
  </si>
  <si>
    <t>3. Equity Behavior Curves</t>
  </si>
  <si>
    <t>Hatfield 40</t>
  </si>
  <si>
    <t xml:space="preserve">To protect against rising rates, XYZ could enter into a pay fixed and receive floating interest rate swap. </t>
  </si>
  <si>
    <t>Rubin 240</t>
  </si>
  <si>
    <t>Hatfield 53-54</t>
  </si>
  <si>
    <t>ZZZ Corporation has a closed defined benefit pension plan.</t>
  </si>
  <si>
    <t>Year</t>
  </si>
  <si>
    <t>41+</t>
  </si>
  <si>
    <t>Benefits</t>
  </si>
  <si>
    <t>i: The value of the pension liability</t>
  </si>
  <si>
    <t>ii: The duration of the pension liability</t>
  </si>
  <si>
    <t>iii: The convexity of the pension liability</t>
  </si>
  <si>
    <t xml:space="preserve">Duration </t>
  </si>
  <si>
    <t>Bond</t>
  </si>
  <si>
    <t>Convexity</t>
  </si>
  <si>
    <t>Short term bond</t>
  </si>
  <si>
    <t>Long term bond</t>
  </si>
  <si>
    <t>B: Estimate the new funding ratio following a parallel decrease in interest rates of 50 basis points</t>
  </si>
  <si>
    <t>DFs</t>
  </si>
  <si>
    <t>We construct the discount factors for each year as exp(-r*T). The value of the liability is sum of the discounted cash flows</t>
  </si>
  <si>
    <t xml:space="preserve">L = </t>
  </si>
  <si>
    <t xml:space="preserve">D = </t>
  </si>
  <si>
    <t>The cash flows are basically fixed. So we can use the PV weighted average time to the cash flows</t>
  </si>
  <si>
    <t>The cash flows are basically fixed. So we can use the PV weighted average time-squared to the cash flows</t>
  </si>
  <si>
    <t xml:space="preserve">C = </t>
  </si>
  <si>
    <t xml:space="preserve">A = </t>
  </si>
  <si>
    <t xml:space="preserve">Delta L = </t>
  </si>
  <si>
    <t>We can estimate first the change in value of the liability via Delta L approx  (- DL &amp; delta r + 0.5 * CL *(delta r)^2)*L</t>
  </si>
  <si>
    <t>Similarly, for the assets</t>
  </si>
  <si>
    <t xml:space="preserve">Delta A = </t>
  </si>
  <si>
    <t>The new funding ratio is (A + delta A)/(L + delta L)</t>
  </si>
  <si>
    <t>New Ratio</t>
  </si>
  <si>
    <t>Assume the the current portfolio can only be sold "pro-rata" and that the current rate is 5.00%</t>
  </si>
  <si>
    <t>We need to solve the system</t>
  </si>
  <si>
    <t>equivalently</t>
  </si>
  <si>
    <t xml:space="preserve">Solution to the system </t>
  </si>
  <si>
    <t>is gven here</t>
  </si>
  <si>
    <t>Xcoeiffs</t>
  </si>
  <si>
    <t>Y coeffis</t>
  </si>
  <si>
    <t>Z values</t>
  </si>
  <si>
    <t xml:space="preserve"> aX + bY = z1</t>
  </si>
  <si>
    <t>cX + dY = z2</t>
  </si>
  <si>
    <t xml:space="preserve">X = </t>
  </si>
  <si>
    <t xml:space="preserve">Y = </t>
  </si>
  <si>
    <t>DA =</t>
  </si>
  <si>
    <t xml:space="preserve">CA = </t>
  </si>
  <si>
    <t xml:space="preserve">delta r = </t>
  </si>
  <si>
    <t>&lt;- Amount in short Term bond</t>
  </si>
  <si>
    <t>&lt;- Amount in long term bond</t>
  </si>
  <si>
    <t>&lt;- Amount left in original portfolio</t>
  </si>
  <si>
    <t>The table gives daily closing index value of the Russell 2000 over a period of 2 years</t>
  </si>
  <si>
    <t>Date</t>
  </si>
  <si>
    <t>Close Price</t>
  </si>
  <si>
    <t>A GARCH(1,1) model is fit to a time series of daily returns for some market index S(t). The model is given by</t>
  </si>
  <si>
    <t>C:</t>
  </si>
  <si>
    <t>ii) What is Y_t?</t>
  </si>
  <si>
    <t>iii) What is the long-term unconditional variance?</t>
  </si>
  <si>
    <t>Y_t = .0006 + sigma_t *epsilon_t</t>
  </si>
  <si>
    <t>Log return</t>
  </si>
  <si>
    <t>NA</t>
  </si>
  <si>
    <t>For this, we need to calculate the monthly log-returns.  The model assumes that this are distributed normally and are independent.  Therefore, the MLE for the parameter mu is just the sample averge log-return and the MLE for the standard devation is just the standards devation of the sample.</t>
  </si>
  <si>
    <t xml:space="preserve">hat(mu) = </t>
  </si>
  <si>
    <t xml:space="preserve">hat(sigma)= </t>
  </si>
  <si>
    <t>1. Volatility is stochastic</t>
  </si>
  <si>
    <t>2. Volatility clusters</t>
  </si>
  <si>
    <t>epsilon sim N(0,1)  is a draw from the standard normal distribution</t>
  </si>
  <si>
    <t>Y_1 = ln(S(1)/S(t-1)). It's the daily log-return</t>
  </si>
  <si>
    <t>a0</t>
  </si>
  <si>
    <t>a1</t>
  </si>
  <si>
    <t>b</t>
  </si>
  <si>
    <t xml:space="preserve">Either </t>
  </si>
  <si>
    <t>Periods of high absolute returns are more likely to be negative than positive</t>
  </si>
  <si>
    <t>Periods of high volatility are more likely to have negative returns</t>
  </si>
  <si>
    <t>3. Periods of high absolute returns are more likely to be negative than positive</t>
  </si>
  <si>
    <t>also: Periods of high volatility are more likely to have negative returns</t>
  </si>
  <si>
    <t>The current discount curve is given as well.</t>
  </si>
  <si>
    <t>The investment manager expresses frustration that they cannot find bonds with long anough maturities to properly match the projected cashflows.</t>
  </si>
  <si>
    <t>Market conditions recently have featured a high level of volatility with respect to interest rates.</t>
  </si>
  <si>
    <t>Whole Life, Term Life, Universal Life, Fixed and Variable Annuities, pension buyouts etc.</t>
  </si>
  <si>
    <t>A:  Identify four reasons why liquidity should be of concern for Omega.</t>
  </si>
  <si>
    <t>B: What are the key elements a liquidity report should include?</t>
  </si>
  <si>
    <t>C:  Recommend in outline form a liquidity scenario stress testing process for Omega</t>
  </si>
  <si>
    <t>Milliman p13, IAS p 8</t>
  </si>
  <si>
    <t>1. Risk Appetite and Risk limits</t>
  </si>
  <si>
    <t xml:space="preserve">There are three key elements </t>
  </si>
  <si>
    <t>Milliman p13</t>
  </si>
  <si>
    <t>Should cover multiple time horizons</t>
  </si>
  <si>
    <t xml:space="preserve">Should include impact across multiple levels </t>
  </si>
  <si>
    <t>Should incorporate historical events and also look-forward scenarios</t>
  </si>
  <si>
    <t>A:  Assuming  no interest rate sensitivity for the equity portfolio, estimate the funding ratio if interest rates were to drop 100 basis points.</t>
  </si>
  <si>
    <t xml:space="preserve">The CFO is concerned about the interest rate exposure of the plan.  </t>
  </si>
  <si>
    <t>After some thought, the CFO want to know if it is possible to increase the equity exposure to 75% of the assets without selling off bonds and while maintaining 10% cash.</t>
  </si>
  <si>
    <t xml:space="preserve">Since the funding ratio is 95%, the value of the liabilities is </t>
  </si>
  <si>
    <t>million</t>
  </si>
  <si>
    <t>After the change in rates, the new liability value will be (approx)</t>
  </si>
  <si>
    <t>After the change in rates, the new asset value will be (approx)</t>
  </si>
  <si>
    <t>1. Via equity futures contracts.</t>
  </si>
  <si>
    <t>2. Via an equity total return swap.</t>
  </si>
  <si>
    <t xml:space="preserve">1. Phase into the LDI strategy over the next year.  </t>
  </si>
  <si>
    <t>2. Create a trigger rate.  If rates rise to the trigger rate, apply the LDI.  If the trigger is never hit after one year, apply the LDI anyway</t>
  </si>
  <si>
    <t>A:  Recommend  a simplification to the liability model as an alternative to modeling every policy.</t>
  </si>
  <si>
    <t>You are an actuary working for a life insurance company.  You work on the ALM team focused on the Universal Life (UL) Business.</t>
  </si>
  <si>
    <t>Premiums</t>
  </si>
  <si>
    <t>Expenses</t>
  </si>
  <si>
    <t>Liability Cash Flows</t>
  </si>
  <si>
    <t>Model Year</t>
  </si>
  <si>
    <t>Calculated Reserve (EOY)</t>
  </si>
  <si>
    <t>Investment Income</t>
  </si>
  <si>
    <t>Profit</t>
  </si>
  <si>
    <t xml:space="preserve">C: </t>
  </si>
  <si>
    <t>D: Explain two reasons his reasoning is flawed.</t>
  </si>
  <si>
    <t>You are an actuary working in an insurance company's risk management function</t>
  </si>
  <si>
    <t>You and a collegue has been asked to develop stress scenarios for asset losses.</t>
  </si>
  <si>
    <t>Specifically, you have asked to develop a combined credit loss and equity portfolio loss scenario.</t>
  </si>
  <si>
    <t xml:space="preserve">Specifically, your collegue notes that </t>
  </si>
  <si>
    <t>Credit VAR(95)=</t>
  </si>
  <si>
    <t>112M</t>
  </si>
  <si>
    <t xml:space="preserve">Equity VAR(95) = </t>
  </si>
  <si>
    <t>200M</t>
  </si>
  <si>
    <t xml:space="preserve">because </t>
  </si>
  <si>
    <t>She suggests that the combined loss of $312M would be VAR(99.75)</t>
  </si>
  <si>
    <t>.05^2 = .0025</t>
  </si>
  <si>
    <t>Upon hearing your critique, your colleague suggests using the Gaussian Copula with a correlation of 0.5.</t>
  </si>
  <si>
    <t>B:</t>
  </si>
  <si>
    <t>ii) Critique this choice of copula</t>
  </si>
  <si>
    <t>A: Identify five purposes or uses of stress tests</t>
  </si>
  <si>
    <t>ii) Explain how you might use reverse stress testing in this context</t>
  </si>
  <si>
    <t>D:  Alternatively, you elect to develop the stress using a subjective approach.</t>
  </si>
  <si>
    <t>T</t>
  </si>
  <si>
    <t>Z(0,T)</t>
  </si>
  <si>
    <t>A: What is the current price of bond X?</t>
  </si>
  <si>
    <t>B : What is the forward price of bond X under the forward agreement?</t>
  </si>
  <si>
    <t>On January 1,  a hedger enters into forward agreement to purchase a bond X on April 1.</t>
  </si>
  <si>
    <t>The  zero coupon prices on January 1 are indicated in the table below</t>
  </si>
  <si>
    <t xml:space="preserve">On April 1,  the zero coupon curve is given by </t>
  </si>
  <si>
    <t>C: What is the payoff on the forward contract?</t>
  </si>
  <si>
    <t>D: Describe the differences between</t>
  </si>
  <si>
    <t>i) A bond forward agreement versus a bond futures contract</t>
  </si>
  <si>
    <t>ii) A bond futures contract versus a swap</t>
  </si>
  <si>
    <t xml:space="preserve">We simply discount the cash flow from the bond.  The coupons are </t>
  </si>
  <si>
    <t>c *100/2</t>
  </si>
  <si>
    <t>Bond CF</t>
  </si>
  <si>
    <t>The value of the bond is the sum product</t>
  </si>
  <si>
    <t xml:space="preserve">Value = </t>
  </si>
  <si>
    <t>So we first need to know the forward discount factor via eq 5.2 p 156</t>
  </si>
  <si>
    <t>These are in column D</t>
  </si>
  <si>
    <t>Hence the cash flows are given in column C above</t>
  </si>
  <si>
    <t>F(0,.25,T_k)</t>
  </si>
  <si>
    <t>So the price is given with the sumproduct</t>
  </si>
  <si>
    <t xml:space="preserve">Price = </t>
  </si>
  <si>
    <t>We need to know the current price of the bond under the new curve. Note that the bond now matures in 4.75 years.</t>
  </si>
  <si>
    <t>So we paste over the cash flow and apply the correct sumproduct</t>
  </si>
  <si>
    <t>New Price</t>
  </si>
  <si>
    <t>CFs</t>
  </si>
  <si>
    <t>1. Basis Risk - The forward contract can exactly match the underlying bond</t>
  </si>
  <si>
    <t>2. Tailing of the hedge - the notional of the futures position will need to be reduced over time</t>
  </si>
  <si>
    <t xml:space="preserve">3. Liquidity - futures enjoy higher liquidity </t>
  </si>
  <si>
    <t>1. Options can allow upside if rates move the "other" way</t>
  </si>
  <si>
    <t>ii) Hedging with linear pay-off derivative versus options</t>
  </si>
  <si>
    <t>Veronesi pp 223-224</t>
  </si>
  <si>
    <t>Hatfield p 53</t>
  </si>
  <si>
    <t>1. Swaps are OTC and can be tailored</t>
  </si>
  <si>
    <t>2. Basis can differ</t>
  </si>
  <si>
    <t>3. Swaps require relationship with dealer</t>
  </si>
  <si>
    <t>Hatfield p 10</t>
  </si>
  <si>
    <t>They used the independence copula C(u,v) = u*v</t>
  </si>
  <si>
    <t>i) What Copula did your colleague use?</t>
  </si>
  <si>
    <t xml:space="preserve">The assumption of indepenedence will understate the tail. </t>
  </si>
  <si>
    <t>2. Challenge Model Assumptions</t>
  </si>
  <si>
    <t>4. Focus the effect of extreme scenarios on capital and liquidity</t>
  </si>
  <si>
    <t>5. Faciliate communication within institutions</t>
  </si>
  <si>
    <t>6. To communicate risk appetite</t>
  </si>
  <si>
    <t>7. Deterministic micro-simulation</t>
  </si>
  <si>
    <t>8. Required by regulators</t>
  </si>
  <si>
    <t>Hardy and Saunders p. 208</t>
  </si>
  <si>
    <t>i) Describe three criteria that a stress scenario set should satisfy</t>
  </si>
  <si>
    <t xml:space="preserve">2. They should be extreme in order to test the portfolio </t>
  </si>
  <si>
    <t>Hardy and Saunders pp. 212-213</t>
  </si>
  <si>
    <t xml:space="preserve">Reverse stress testing attempts to identify which scenarios are most adverse.  They should include scenarios that can leave the firm insolvent. </t>
  </si>
  <si>
    <t>In this context, the risk manager would attempt to find a combination of credit and equity losses that could lead to insolvency and assess how that might play out.</t>
  </si>
  <si>
    <t>Hardy and Saunders p 163</t>
  </si>
  <si>
    <t>Hardy and Saunders p 176</t>
  </si>
  <si>
    <t>Hardy and Saunders p 180</t>
  </si>
  <si>
    <t>The tail dependency of the Gaussian copula is zero.  Hence tail events may be understated</t>
  </si>
  <si>
    <t>Hardy and Saunders p 193. See also Devil in the Tails bottom of page 16</t>
  </si>
  <si>
    <t xml:space="preserve">Hardy and Saunders p 193. </t>
  </si>
  <si>
    <t xml:space="preserve">The CIR model is a single factor model with square root volatility  </t>
  </si>
  <si>
    <t xml:space="preserve">PVProfit = </t>
  </si>
  <si>
    <t>Liquidity GAP =</t>
  </si>
  <si>
    <t>Asset Return rate</t>
  </si>
  <si>
    <t>1. Crediting rates will need to be increased with higher rates, thus increasing the benefit costs.</t>
  </si>
  <si>
    <t>2. The insurer portfolio is not all floating rate bonds, so investment income does not immediately increase.</t>
  </si>
  <si>
    <t>Habart, pp =102-103</t>
  </si>
  <si>
    <t>Habart, pp 76-82</t>
  </si>
  <si>
    <t>Habart, pp 85-86</t>
  </si>
  <si>
    <t>Habart, 4.3.3 - 4.3.5, see also Laurent</t>
  </si>
  <si>
    <t>The new funding ratio will be</t>
  </si>
  <si>
    <t>Hatfield 4.2</t>
  </si>
  <si>
    <t>Ddur Needed</t>
  </si>
  <si>
    <t>We first calculate the dollaration difference between the assets and liabilities</t>
  </si>
  <si>
    <t>Hatfield 5.7.1</t>
  </si>
  <si>
    <t>Use swaps to match the dollar durations of assets and liabilities while mainting the equity exposure for growth</t>
  </si>
  <si>
    <t>Spot Discount Rate (continuously compounded)</t>
  </si>
  <si>
    <t>New Frontiers</t>
  </si>
  <si>
    <t xml:space="preserve">Percentage = </t>
  </si>
  <si>
    <t>We first calculate the discount factors to get the PVs</t>
  </si>
  <si>
    <t>PV of 30+ liabilities</t>
  </si>
  <si>
    <t>PV of liabilities</t>
  </si>
  <si>
    <t>Net Liability Cash Flows</t>
  </si>
  <si>
    <t>1. Real Estate</t>
  </si>
  <si>
    <t>2. Infrastructure</t>
  </si>
  <si>
    <t>3. Equities</t>
  </si>
  <si>
    <t>Hatfield p 68</t>
  </si>
  <si>
    <t>B: Describe two assets classes that may be appropriate for the NFI carve out</t>
  </si>
  <si>
    <t xml:space="preserve">Management deems that the equity duration should be bound between -5 and 10. </t>
  </si>
  <si>
    <t>C: Determine upper and lower bounds for the duration of the assets</t>
  </si>
  <si>
    <t xml:space="preserve">D_L = </t>
  </si>
  <si>
    <t xml:space="preserve">DD_L = </t>
  </si>
  <si>
    <t>E =</t>
  </si>
  <si>
    <t>D_Lower =</t>
  </si>
  <si>
    <t xml:space="preserve">D_Upper = </t>
  </si>
  <si>
    <t>D_E = D_A +(L/E)(D_A -D_L)</t>
  </si>
  <si>
    <t xml:space="preserve">We know that </t>
  </si>
  <si>
    <t>so the bounds translate to</t>
  </si>
  <si>
    <t>(Annualized parameters OK too)</t>
  </si>
  <si>
    <t>Hardy and Saunder pp 250-251</t>
  </si>
  <si>
    <t>Hardy and Saunder pp 236-238</t>
  </si>
  <si>
    <t>Hardy and Saunder pp 231-233, 240</t>
  </si>
  <si>
    <t>Hardy and Saunder pp 231-234</t>
  </si>
  <si>
    <t>Hatfield pp 16-17</t>
  </si>
  <si>
    <t>Hatfield p 29</t>
  </si>
  <si>
    <t>Tuckman pp 127-134</t>
  </si>
  <si>
    <t>Any four of:</t>
  </si>
  <si>
    <t>The  funding ratio is 100%</t>
  </si>
  <si>
    <t>Tuckman p 115</t>
  </si>
  <si>
    <t xml:space="preserve">DA_new = </t>
  </si>
  <si>
    <t>alpha *19 + beta*250 +(1-alpha -beta)*75</t>
  </si>
  <si>
    <t>alpha *4 + beta*15 +(1-alpha -beta)*5</t>
  </si>
  <si>
    <t>DA_new = 9</t>
  </si>
  <si>
    <t>(-1)*alpha + 10 *beta = 4</t>
  </si>
  <si>
    <t>(-56)*alpha + 175*beta = 62.4</t>
  </si>
  <si>
    <t>The portfolio manager wishes for the assets to match the duration and convexity of the liabilities</t>
  </si>
  <si>
    <t>Leave (1-alpha - beta)  in orginal portfolio</t>
  </si>
  <si>
    <t>Invest proportion alpha into the short term bond</t>
  </si>
  <si>
    <t>Invest proportion  beta into the long term bond</t>
  </si>
  <si>
    <t>Helpful calculation (Put the. Correct numbers into the system)</t>
  </si>
  <si>
    <t>References</t>
  </si>
  <si>
    <t>Hatfield section 4</t>
  </si>
  <si>
    <t>Tuckman chapter 4</t>
  </si>
  <si>
    <t>New Frontiers: Backing Long-term Insurance Liabilities with Non-fixed-income Assets, TD Asset Management</t>
  </si>
  <si>
    <t>Hatfield Section 6</t>
  </si>
  <si>
    <t>IAIS Application Paper on Liquidity Risk Management</t>
  </si>
  <si>
    <t>IAIS, s7</t>
  </si>
  <si>
    <t>IAIS p10</t>
  </si>
  <si>
    <t>IAIS p11</t>
  </si>
  <si>
    <t>IAIS p 17</t>
  </si>
  <si>
    <t>IAIS P11</t>
  </si>
  <si>
    <t>LDI Explained, BMO Global Asset Management, Ch. 3-7</t>
  </si>
  <si>
    <t>Hatfield sections 4 and 5</t>
  </si>
  <si>
    <t>LDI Explained, Chapter 6</t>
  </si>
  <si>
    <t>LDI Explained, Chapter 3, Section 4</t>
  </si>
  <si>
    <t xml:space="preserve">ALM for Banks and Insurance Companies, Habart, Ch. 4 </t>
  </si>
  <si>
    <t>Implicit in several sources</t>
  </si>
  <si>
    <t>Hardy and Saunders 6</t>
  </si>
  <si>
    <t>Hardy and Saunders 7</t>
  </si>
  <si>
    <t>Reference</t>
  </si>
  <si>
    <t>Veronesi, Chapters 5 &amp; 6</t>
  </si>
  <si>
    <t>Hatfield</t>
  </si>
  <si>
    <t>Alternatively, we can also simply use that F = P/Z(0,.25).</t>
  </si>
  <si>
    <t>Payoff</t>
  </si>
  <si>
    <t xml:space="preserve">PVFP= </t>
  </si>
  <si>
    <t>B: Recommend an interest rate swap strategy that may address both of the CFO's concerns including how much Dollar Duration will the swaps need to generate.</t>
  </si>
  <si>
    <t>New Ratio =</t>
  </si>
  <si>
    <t>remove " 's"</t>
  </si>
  <si>
    <t>spelling</t>
  </si>
  <si>
    <t>The deferred annuity block has two features that enhance their competitiveness.</t>
  </si>
  <si>
    <t>2. A rapidly growing block of deferred annuities.  Reservers are $1.4 billion and annual sales are about $200 million.</t>
  </si>
  <si>
    <t>b. The crediting rate is guaranteed to be at least the current 3 Month Treasury Rate + 50 basis points</t>
  </si>
  <si>
    <t>The asset portoflio is designed to achieve high returns which has generally resulted in the crediting rate being much higher than the guarantee.</t>
  </si>
  <si>
    <t>The asset portfolio is consists of:</t>
  </si>
  <si>
    <t>C: Recommend four ways ABC can reduce its ALM risk.</t>
  </si>
  <si>
    <t>Our projections show that our annual earnings will be positive under 99.9% of scenarios."</t>
  </si>
  <si>
    <t>B: Critique this comment.</t>
  </si>
  <si>
    <t>"We are confident that our asset portfolio is more than adaquate to meet our liabiliites.  We run 10,000 very sophisticated interest rate scenarios through our very complex actuarial models.</t>
  </si>
  <si>
    <t>CP 351 ALM - Guided Examples - Q1</t>
  </si>
  <si>
    <t>CP 351 ALM - Guided Examples - Q1 solution</t>
  </si>
  <si>
    <t>Learning Outcomes</t>
  </si>
  <si>
    <t>1d) Describe how different pension and insurance contracts generate embedded options.</t>
  </si>
  <si>
    <t>CP 351 ALM - Guided Examples - Q10</t>
  </si>
  <si>
    <t>CP 351 ALM - Guided Examples - Q9</t>
  </si>
  <si>
    <t>CP 351 ALM - Guided Examples - Q8</t>
  </si>
  <si>
    <t>CP 351 ALM - Guided Examples - Q7</t>
  </si>
  <si>
    <t>CP 351 ALM - Guided Examples - Q6</t>
  </si>
  <si>
    <t>CP 351 ALM - Guided Examples - Q5</t>
  </si>
  <si>
    <t>CP 351 ALM - Guided Examples - Q4</t>
  </si>
  <si>
    <t>CP 351 ALM - Guided Examples - Q3</t>
  </si>
  <si>
    <t>CP 351 ALM - Guided Examples - Q2</t>
  </si>
  <si>
    <t>The UL policies have a guaranteed level of expense charges and Cost of Insurance (COI) charges. XYZ Life makes changes to actual charges only occasionaly based on experience.</t>
  </si>
  <si>
    <t xml:space="preserve">Crediting rates are declared by the ALM team every month.  The rate applies to all policies issued during the month or whose anniversaries occur during the month.  It is in effect until the next anniversary. </t>
  </si>
  <si>
    <t>Most contracts have a surrender period.</t>
  </si>
  <si>
    <t>A: Identify the options held by policyholders and by XYZ Life.</t>
  </si>
  <si>
    <t>In order to determine the duration of the liabilities, the following method is used.</t>
  </si>
  <si>
    <t>3. Using the current Treasury curve, the present value weighted average time to the  monthly cash flows is calculated.   This is taken to be the liability duration.</t>
  </si>
  <si>
    <t>Instead, effective duration should be calculated.  This means that:</t>
  </si>
  <si>
    <t>4. The procedure should be repeated twice with the intial curve shocked up and down by a small value, like 10 basis points. Call these valuations L(0), L(10), and L(-10)</t>
  </si>
  <si>
    <t>5. The effective duration is then given by D_eff = (L(10) - L(-10 ))/(2*shock*L(0))</t>
  </si>
  <si>
    <t>To protect against the crediting guarantees (low rates), ZYX life could use floors or swaptions</t>
  </si>
  <si>
    <t>The annual cash flows (benfit payments) of the plan have been projected by the plan's actuary and are given in the table below.</t>
  </si>
  <si>
    <t>Discount Factors</t>
  </si>
  <si>
    <t>A: Assuming a continuously compondounded rate of 5.00%, calculate:</t>
  </si>
  <si>
    <t xml:space="preserve">Since the funding ratio is 100%, we know that the assets have value </t>
  </si>
  <si>
    <t>The following two bonds are available to the manager:</t>
  </si>
  <si>
    <t xml:space="preserve">C: Determine proportions alpha and beta respectively of the orginally portfolio should be invested in the new bonds. </t>
  </si>
  <si>
    <t>We need to calculate the the duration and convexity of the portfolio as we reallocate alpha into the short term bond and beta into the long-term bond.</t>
  </si>
  <si>
    <t xml:space="preserve">CA_new = </t>
  </si>
  <si>
    <t>The portfolio currently has a duration of 5 and a convexity of 75</t>
  </si>
  <si>
    <t>CA_new = 137.4</t>
  </si>
  <si>
    <t>Helpful calculation (Put the correct numbers into the system)</t>
  </si>
  <si>
    <t>&lt;- Amount into short term bond</t>
  </si>
  <si>
    <t>&lt;- Amount into long term bond</t>
  </si>
  <si>
    <t>A: Suppose that you wish to model monthly returns using the Independent Lognormal Model. Using Maximum Liklihood Estimatation with this data, estimate the two parameters of this model.</t>
  </si>
  <si>
    <t>B: Identify three stylized facts about equity market returns that the Independent Lognormal Model does not satisfy</t>
  </si>
  <si>
    <t>sigma_t^2 = .0000175 + .6(Y_{t-1} - mu)^2 + .3 sigma_{t-1}^2</t>
  </si>
  <si>
    <t>i) What is epsilon_t?</t>
  </si>
  <si>
    <t>The formula is a0 / (1 - a1 - b)</t>
  </si>
  <si>
    <t>iv) Identify one stylized fact that this model will not satisfy</t>
  </si>
  <si>
    <t>ZYX is managing  a portfolio of assets that backs a block of immediate annuities, 20 and 30-year term life, and LTC.</t>
  </si>
  <si>
    <t>The liabilties have projected cash outflows as described in the table.</t>
  </si>
  <si>
    <t>You propose a Non Fixed Income (NFI) carve out strategy for the cash flows beyond year 30.</t>
  </si>
  <si>
    <t>A: Based on the discount curve, what percentage of the assets should be assigned to the carve out?</t>
  </si>
  <si>
    <t>with a comment on its cash flow pattern from:</t>
  </si>
  <si>
    <t>The NFI Strategy is adopted and fixed income assets are allocated to a segment backing the cash flows out to year 30 (segment 1) so that the A/L ratio is 1.15</t>
  </si>
  <si>
    <t>Hatfield pp 65-66</t>
  </si>
  <si>
    <t>D_A_tol = (E*(DurTolerance) + DDL)/A</t>
  </si>
  <si>
    <t>Dollar Duration</t>
  </si>
  <si>
    <r>
      <rPr>
        <sz val="10.5"/>
        <color theme="1"/>
        <rFont val="Arial"/>
        <family val="2"/>
      </rPr>
      <t>Life Insurance Risk,</t>
    </r>
    <r>
      <rPr>
        <sz val="10"/>
        <color rgb="FF000000"/>
        <rFont val="Arial"/>
        <family val="2"/>
      </rPr>
      <t xml:space="preserve"> </t>
    </r>
    <r>
      <rPr>
        <sz val="10.5"/>
        <color theme="1"/>
        <rFont val="Arial"/>
        <family val="2"/>
      </rPr>
      <t>Capital, and ALM in the Age of Uncertainty - Paper 2 - Risk models and monitoring, and management implications (Milliman)</t>
    </r>
  </si>
  <si>
    <t>Omega Life is a multiline insurer operating several lines of business.</t>
  </si>
  <si>
    <t>These lines include:</t>
  </si>
  <si>
    <t>They also have a P&amp;C subsidiary.</t>
  </si>
  <si>
    <t>The variable annuites have many different GMXB riders that Omega Life actively hedges.</t>
  </si>
  <si>
    <t>The Investment team has recently been increasing the allocations to altenative assets such as CLOs, real estate, private debt, etc and is happy with the results.</t>
  </si>
  <si>
    <t>The Chief Risk Officer, who has come over from another company, is concerned by the limited nature of Omega's liquidity management practices.</t>
  </si>
  <si>
    <t xml:space="preserve">1. Policyholder behavior, especially in rate environement. </t>
  </si>
  <si>
    <t>2. Increased holdings of illiquid assets</t>
  </si>
  <si>
    <t>3. The active derivatives program generates collateral posting requirements</t>
  </si>
  <si>
    <t>4. Event risk from the P&amp;C subsidiary</t>
  </si>
  <si>
    <t>The CRO proposes the creation of regular Liquidity Report that can be shared senior management and regulators.</t>
  </si>
  <si>
    <t>3. Analysis of current liquidity profile</t>
  </si>
  <si>
    <t>2. Strategies, policies, and processes</t>
  </si>
  <si>
    <t>Scenarios should be both top-down and bottom up</t>
  </si>
  <si>
    <t>Should consider multiple sources of stress such as policy holder behavior and collateral cash-flows</t>
  </si>
  <si>
    <t>Should not assume availability of off-balance sheet sources of cash</t>
  </si>
  <si>
    <t>D:  Describe two important elements for managing liquidity stress.  Give an example for each.</t>
  </si>
  <si>
    <t>1. Maintence of a bucket of highly liquid assets.  These might be cash, short-term Treasuries, or money-market instruments.</t>
  </si>
  <si>
    <t>2. Access to contingency sources of funding such as non-revokable lines of credit</t>
  </si>
  <si>
    <t>Alpha Beta Gamma Corp has a defined benefit plan that is currently funded at 95% (meaning that A/L = 0.95).</t>
  </si>
  <si>
    <t>The assets are $100M, currently allocated 50% Equities, 40% bonds, and 10% cash.</t>
  </si>
  <si>
    <t>A pension actuary has told the CFO that the plan liabilites have a duration of 15.</t>
  </si>
  <si>
    <t>The bond portfolio has a duration of 5.</t>
  </si>
  <si>
    <t xml:space="preserve">The dollar duration of the liabilites is </t>
  </si>
  <si>
    <t xml:space="preserve">We only include the bonds, so the dollar duration of the assets is </t>
  </si>
  <si>
    <t>the plan's funding costs wil be too high and the funding ratio may never improve very much (without additional contributions).</t>
  </si>
  <si>
    <t>An LDI asset manager suggests an LDI strategy to eliminate the interest rate mismatch.  However, the CFO expresses concern that without equity exposure</t>
  </si>
  <si>
    <t xml:space="preserve">This can obtained with pay float/receive fixed swaps, called "receiver" swaps.  </t>
  </si>
  <si>
    <t>After some thought, the CFO wants to know if it is possible to increase the equity exposure to 75% of the assets without selling off bonds and while maintaining 10% cash.</t>
  </si>
  <si>
    <t>C: Identify two methods to achieve this result.  Determine the notional amount of the derivative positions you recommend for each.</t>
  </si>
  <si>
    <t>To increase the equity allocation from 50% to 75% of 100M of assets, 25M of notional derivatives will be required.  This can be done (at least)</t>
  </si>
  <si>
    <t>two ways:</t>
  </si>
  <si>
    <t>D: Recommend two possible approaches to manage his concern.</t>
  </si>
  <si>
    <t xml:space="preserve">he does not want to miss out on the improved funding ratio should interest rates "jump" up in the short term. </t>
  </si>
  <si>
    <t xml:space="preserve">Before implementing the plan, the CFO expresses concern that whle he ultimately would like to achieve the LDI result within a year, </t>
  </si>
  <si>
    <t>Use model points to represent sets of homogenous policies This reduces memory and computation time.</t>
  </si>
  <si>
    <t>Model points need to cover the discriminating variables that affect the results.</t>
  </si>
  <si>
    <t>The current ALM model relies on a Cox-Ingersoll-Ross (CIR) interest rate model to project both portfolio returns and the competitor rate.</t>
  </si>
  <si>
    <t>B: Critique this model choice. Include both advantages and disadvantages.</t>
  </si>
  <si>
    <t>Advantages are:</t>
  </si>
  <si>
    <t xml:space="preserve">  Simple, robust, and easy to calibrate</t>
  </si>
  <si>
    <t xml:space="preserve">  Does not admit negative rates</t>
  </si>
  <si>
    <t xml:space="preserve">  Can crash into x-axis in low rate enviroments</t>
  </si>
  <si>
    <t xml:space="preserve">  Single factor model does not allow complex curve shapes</t>
  </si>
  <si>
    <t>Recommendation: Could be OK to use for simplicity OR could suggest alternative models</t>
  </si>
  <si>
    <t>Disadvantages are:</t>
  </si>
  <si>
    <t>The data below shows the output of the ALM model (for the UL business) for the next 20 years under the central scenario.</t>
  </si>
  <si>
    <t>Assuming that profits are given by P(t) = CF(t) - (Reserve(t)  - Reserve(t-1)) + Investment Income(t),</t>
  </si>
  <si>
    <t>Habart, p 100</t>
  </si>
  <si>
    <t>i) Determine the Present Value of Future Profits discounted at</t>
  </si>
  <si>
    <t>ii) Calculate the Liquidity GAP for each projection year.  Assume that investment income equals the asset cash flows.</t>
  </si>
  <si>
    <t>The Chief Actuary suggests that you can understand the value of asset returns increasing by 50 basis points by changing</t>
  </si>
  <si>
    <t>the investment return rate assumption in cell B35.   He therefore concludes that rising rates will be good for profits.</t>
  </si>
  <si>
    <t>3. Higher rates should imply a higher discount rate for PVFP calculation.</t>
  </si>
  <si>
    <t>You are an actuary working in an insurance company's risk management function.</t>
  </si>
  <si>
    <t>Hardy and Saunders pp 205-207.  There are 8 listed.</t>
  </si>
  <si>
    <t>1. Explore impact of Extreme Scenarios</t>
  </si>
  <si>
    <t>3. When there is insufficient data for statistical modeling</t>
  </si>
  <si>
    <t>The risk team has developed two separate models that they believe give reasonable VAR measures for credit and equity losses separately.</t>
  </si>
  <si>
    <t>ii) Critique your collegue's approach</t>
  </si>
  <si>
    <t>i) Let G(x,y; rho) be the CDF of the bivariate Gaussian distribution with marginal variances of 1 and Phi(x) be the CDF of the standard normal distribution.</t>
  </si>
  <si>
    <t>Write down an expression for C(u,v) where C is the Gaussian copula proposed by your colleague.</t>
  </si>
  <si>
    <t>C(u,v) = G(Phi^{-1}(u), Phi^{-1}(v); 0.5)</t>
  </si>
  <si>
    <t>iii) Recommend a more apporpriate copula</t>
  </si>
  <si>
    <t>To obtain tail depedence, use the Clayton or Gumbel copulas depending on whether loss is framed as right or left tail.  (T copula also works though this is not in the reading)</t>
  </si>
  <si>
    <t>1. They shoud be comprehensive.  This means that all key risks are are stressed</t>
  </si>
  <si>
    <t>3. They should be plausable so that decision-makers take the results seriously</t>
  </si>
  <si>
    <t>Bond X matures at T=5.0 with coupon rate c = 6.00% BEY.  The par value of the bond is $100.</t>
  </si>
  <si>
    <t>We use eq 5.33 from Veronesi p. 170</t>
  </si>
  <si>
    <t>Since the hedger can purchase the bond at 102.18 and immediately sell it at 105.45, the payoff is</t>
  </si>
  <si>
    <t>Veronesi pp 208-209</t>
  </si>
  <si>
    <t>4. Credit Risk - futures have lower credit risk since the counterparty is the exchange</t>
  </si>
  <si>
    <t>ii) Hedging with linear pay-off derivatives versus options</t>
  </si>
  <si>
    <t>2. Options cost money to enter into</t>
  </si>
  <si>
    <t>3. Linear derivatives may incur immediate cash flow demand to post collateral, while the change in liability may be only on balance sheet.</t>
  </si>
  <si>
    <t>Hardy and Saunders, Chapter 8</t>
  </si>
  <si>
    <t>Hatfield sections 3, 4, and 5</t>
  </si>
  <si>
    <t>Tilman (2003) Chapter 16 (Rubin)</t>
  </si>
  <si>
    <t>CP 351 ALM - Guided Examples - Q2 solution</t>
  </si>
  <si>
    <t>1d)  Describe how different pension and insurance contracts generate embedded options</t>
  </si>
  <si>
    <t>2a)  Demonstrate an understanding of various risk identification tools</t>
  </si>
  <si>
    <t>3a)  Develop and critique asset allocation strategies appropriate to underlying liability profiles such as pension plans and long-tail insurance liabilities</t>
  </si>
  <si>
    <t>CP 351 ALM - Guided Examples - Q3 solution</t>
  </si>
  <si>
    <t xml:space="preserve">2a)  Demonstrate an understanding of various risk identification tools </t>
  </si>
  <si>
    <t>CP 351 ALM - Guided Examples - Q4 solution</t>
  </si>
  <si>
    <t>2b)  Evaluate a company’s or a portfolio’s exposures to various risks</t>
  </si>
  <si>
    <t>2c)  Evaluate the difficulties of investing for long-tail liabilities (i.e. beyond 30 years) such as inflation and longevity</t>
  </si>
  <si>
    <t>CP 351 ALM - Guided Examples - Q5 solution</t>
  </si>
  <si>
    <t>CP 351 ALM - Guided Examples - Q6 solution</t>
  </si>
  <si>
    <t xml:space="preserve">2b)  Demonstrate an understanding of various risk identification tools </t>
  </si>
  <si>
    <t>CP 351 ALM - Guided Examples - Q7 solution</t>
  </si>
  <si>
    <t>CP 351 ALM - Guided Examples - Q8 solution</t>
  </si>
  <si>
    <t>3b)  Demonstrate an understanding of and apply tools and techniques for measuring and managing interest rate risk in an ALM context</t>
  </si>
  <si>
    <t>and all assets under a variety of scenarios and can produce output in minutes.  However, he says, "I know I can't have what I want."</t>
  </si>
  <si>
    <t xml:space="preserve">The Chief Actuary approaches you and says that he  would like a "dream model" for ALM that will accurately model each policyholder </t>
  </si>
  <si>
    <t>CP 351 ALM - Guided Examples - Q9 solution</t>
  </si>
  <si>
    <t xml:space="preserve">3c)  Apply stress testing and scenario analysis to assess extreme ALM events
</t>
  </si>
  <si>
    <t>CP 351 ALM - Guided Examples - Q10 solution</t>
  </si>
  <si>
    <t>3f)  Understand interest rate derivatives and use them to mitigate interest rate risk</t>
  </si>
  <si>
    <t>ABC Life is a small insurance company.   ABC has two lines of business:</t>
  </si>
  <si>
    <t>GUIDED EXAMPLES</t>
  </si>
  <si>
    <t>o</t>
  </si>
  <si>
    <t xml:space="preserve">These guided examples are intended to enhance specific curriculum resources where additional examples, practice calculations, and/or application of material could benefit candidates. These are not part of the required syllabus but are intended to make the required syllabus topics easier to master. These examples may be longer, more in depth, and/or include more calculation than would likely be used in an assessment environment.  </t>
  </si>
  <si>
    <t xml:space="preserve">These guided examples are presented in two formats – a version where candidates can attempt to navigate the problem/situation independently, and a narrated version where a solution is presented along with assistance to explain the steps involved.  </t>
  </si>
  <si>
    <t xml:space="preserve">These guided examples present one method of arriving at a solution; there could be equally appropriate alternative solutions. </t>
  </si>
  <si>
    <t>These guided examples are not intended to approximate a course assessment, and candidates should not use them as proxies for assessment items. For examples of assessment items, we recommend referencing the curated past exam questions for this course.</t>
  </si>
  <si>
    <t>education@soa.org</t>
  </si>
  <si>
    <t>Version 2025-1</t>
  </si>
  <si>
    <t>Updated: July 8, 2025</t>
  </si>
  <si>
    <t xml:space="preserve">Copyright © Society of Actuaries </t>
  </si>
  <si>
    <t>CP 351 - Asset Liability Management</t>
  </si>
  <si>
    <t>These guided examples have been developed by an actuary with subject matter expertise, with review and modifications by course curriculum committee volunteers and SOA staff. We will continue to refine and expand this example set over time; candidates who would like to recommend source material that could benefit from additional guided examples should reach out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</si>
</sst>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_(&quot;$&quot;* #,##0.0_);_(&quot;$&quot;* \(#,##0.0\);_(&quot;$&quot;* &quot;-&quot;??_);_(@_)"/>
    <numFmt numFmtId="165" formatCode="_(&quot;$&quot;* #,##0_);_(&quot;$&quot;* \(#,##0\);_(&quot;$&quot;* &quot;-&quot;??_);_(@_)"/>
    <numFmt numFmtId="166" formatCode="0.0000"/>
    <numFmt numFmtId="167" formatCode="0.0"/>
  </numFmts>
  <fonts count="16" x14ac:knownFonts="1">
    <font>
      <sz val="12"/>
      <color theme="1"/>
      <name val="Aptos Narrow"/>
      <family val="2"/>
      <scheme val="minor"/>
    </font>
    <font>
      <sz val="11"/>
      <color theme="1"/>
      <name val="Aptos Narrow"/>
      <family val="2"/>
      <scheme val="minor"/>
    </font>
    <font>
      <sz val="12"/>
      <color rgb="FF000000"/>
      <name val="Aptos Narrow"/>
      <family val="2"/>
      <scheme val="minor"/>
    </font>
    <font>
      <sz val="12"/>
      <color theme="1"/>
      <name val="Aptos Narrow"/>
      <family val="2"/>
      <scheme val="minor"/>
    </font>
    <font>
      <sz val="10"/>
      <color rgb="FF000000"/>
      <name val="Arial"/>
      <family val="2"/>
    </font>
    <font>
      <sz val="12"/>
      <color rgb="FFFF0000"/>
      <name val="Aptos Narrow"/>
      <family val="2"/>
      <scheme val="minor"/>
    </font>
    <font>
      <b/>
      <sz val="12"/>
      <color theme="1"/>
      <name val="Aptos Narrow"/>
      <family val="2"/>
      <scheme val="minor"/>
    </font>
    <font>
      <sz val="10.5"/>
      <color theme="1"/>
      <name val="Arial"/>
      <family val="2"/>
    </font>
    <font>
      <b/>
      <sz val="26"/>
      <color theme="4"/>
      <name val="Calibri Light"/>
      <family val="2"/>
    </font>
    <font>
      <sz val="11"/>
      <color theme="4"/>
      <name val="Aptos Narrow"/>
      <family val="2"/>
      <scheme val="minor"/>
    </font>
    <font>
      <sz val="16"/>
      <color theme="4"/>
      <name val="Aptos Display"/>
      <family val="2"/>
      <scheme val="major"/>
    </font>
    <font>
      <sz val="11"/>
      <name val="Aptos Narrow"/>
      <family val="2"/>
    </font>
    <font>
      <u/>
      <sz val="11"/>
      <color theme="10"/>
      <name val="Aptos Narrow"/>
      <family val="2"/>
      <scheme val="minor"/>
    </font>
    <font>
      <u/>
      <sz val="11"/>
      <color theme="10"/>
      <name val="Aptos Narrow"/>
      <family val="2"/>
    </font>
    <font>
      <sz val="11"/>
      <color theme="1"/>
      <name val="Aptos Narrow"/>
      <family val="2"/>
    </font>
    <font>
      <sz val="10"/>
      <color theme="1"/>
      <name val="Aptos Narrow"/>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CAEDFB"/>
        <bgColor rgb="FF000000"/>
      </patternFill>
    </fill>
    <fill>
      <patternFill patternType="solid">
        <fgColor theme="3" tint="0.89999084444715716"/>
        <bgColor indexed="64"/>
      </patternFill>
    </fill>
    <fill>
      <patternFill patternType="solid">
        <fgColor theme="0"/>
        <bgColor indexed="64"/>
      </patternFill>
    </fill>
  </fills>
  <borders count="1">
    <border>
      <left/>
      <right/>
      <top/>
      <bottom/>
      <diagonal/>
    </border>
  </borders>
  <cellStyleXfs count="5">
    <xf numFmtId="0" fontId="0" fillId="0" borderId="0"/>
    <xf numFmtId="44" fontId="3" fillId="0" borderId="0" applyFont="0" applyFill="0" applyBorder="0" applyAlignment="0" applyProtection="0"/>
    <xf numFmtId="9" fontId="3" fillId="0" borderId="0" applyFont="0" applyFill="0" applyBorder="0" applyAlignment="0" applyProtection="0"/>
    <xf numFmtId="0" fontId="1" fillId="0" borderId="0"/>
    <xf numFmtId="0" fontId="12" fillId="0" borderId="0" applyNumberFormat="0" applyFill="0" applyBorder="0" applyAlignment="0" applyProtection="0"/>
  </cellStyleXfs>
  <cellXfs count="71">
    <xf numFmtId="0" fontId="0" fillId="0" borderId="0" xfId="0"/>
    <xf numFmtId="9" fontId="0" fillId="0" borderId="0" xfId="0" applyNumberFormat="1"/>
    <xf numFmtId="165" fontId="0" fillId="0" borderId="0" xfId="1" applyNumberFormat="1" applyFont="1"/>
    <xf numFmtId="0" fontId="0" fillId="0" borderId="0" xfId="0" applyAlignment="1">
      <alignment horizontal="right"/>
    </xf>
    <xf numFmtId="10" fontId="0" fillId="0" borderId="0" xfId="0" applyNumberFormat="1"/>
    <xf numFmtId="2" fontId="0" fillId="0" borderId="0" xfId="1" applyNumberFormat="1" applyFont="1"/>
    <xf numFmtId="166" fontId="0" fillId="0" borderId="0" xfId="1" applyNumberFormat="1" applyFont="1"/>
    <xf numFmtId="165" fontId="0" fillId="0" borderId="0" xfId="0" applyNumberFormat="1"/>
    <xf numFmtId="9" fontId="0" fillId="0" borderId="0" xfId="2" applyFont="1"/>
    <xf numFmtId="2" fontId="0" fillId="0" borderId="0" xfId="0" applyNumberFormat="1"/>
    <xf numFmtId="14" fontId="0" fillId="0" borderId="0" xfId="0" applyNumberFormat="1"/>
    <xf numFmtId="10" fontId="0" fillId="0" borderId="0" xfId="2" applyNumberFormat="1" applyFont="1"/>
    <xf numFmtId="10" fontId="0" fillId="0" borderId="0" xfId="1" applyNumberFormat="1" applyFont="1"/>
    <xf numFmtId="44" fontId="0" fillId="0" borderId="0" xfId="1" applyFont="1"/>
    <xf numFmtId="167" fontId="0" fillId="0" borderId="0" xfId="0" applyNumberFormat="1"/>
    <xf numFmtId="166" fontId="0" fillId="0" borderId="0" xfId="0" applyNumberFormat="1"/>
    <xf numFmtId="0" fontId="0" fillId="0" borderId="0" xfId="0" applyAlignment="1">
      <alignment horizontal="right" vertical="top"/>
    </xf>
    <xf numFmtId="0" fontId="0" fillId="2" borderId="0" xfId="0" applyFill="1"/>
    <xf numFmtId="2" fontId="0" fillId="2" borderId="0" xfId="0" applyNumberFormat="1" applyFill="1"/>
    <xf numFmtId="166" fontId="0" fillId="2" borderId="0" xfId="0" applyNumberFormat="1" applyFill="1"/>
    <xf numFmtId="2" fontId="0" fillId="3" borderId="0" xfId="0" applyNumberFormat="1" applyFill="1"/>
    <xf numFmtId="166" fontId="0" fillId="2" borderId="0" xfId="0" applyNumberFormat="1" applyFill="1" applyAlignment="1">
      <alignment wrapText="1"/>
    </xf>
    <xf numFmtId="0" fontId="0" fillId="2" borderId="0" xfId="0" applyFill="1" applyAlignment="1">
      <alignment horizontal="right"/>
    </xf>
    <xf numFmtId="0" fontId="0" fillId="4" borderId="0" xfId="0" applyFill="1"/>
    <xf numFmtId="0" fontId="0" fillId="5" borderId="0" xfId="0" applyFill="1"/>
    <xf numFmtId="0" fontId="2" fillId="6" borderId="0" xfId="0" applyFont="1" applyFill="1"/>
    <xf numFmtId="0" fontId="0" fillId="7" borderId="0" xfId="0" applyFill="1"/>
    <xf numFmtId="44" fontId="0" fillId="3" borderId="0" xfId="1" applyFont="1" applyFill="1"/>
    <xf numFmtId="44" fontId="0" fillId="3" borderId="0" xfId="0" applyNumberFormat="1" applyFill="1"/>
    <xf numFmtId="8" fontId="0" fillId="3" borderId="0" xfId="0" applyNumberFormat="1" applyFill="1"/>
    <xf numFmtId="9" fontId="0" fillId="3" borderId="0" xfId="2" applyFont="1" applyFill="1"/>
    <xf numFmtId="1" fontId="0" fillId="2" borderId="0" xfId="0" applyNumberFormat="1" applyFill="1"/>
    <xf numFmtId="1" fontId="0" fillId="3" borderId="0" xfId="0" applyNumberFormat="1" applyFill="1"/>
    <xf numFmtId="165" fontId="0" fillId="0" borderId="0" xfId="1" applyNumberFormat="1" applyFont="1" applyAlignment="1">
      <alignment wrapText="1"/>
    </xf>
    <xf numFmtId="10" fontId="0" fillId="3" borderId="0" xfId="2" applyNumberFormat="1" applyFont="1" applyFill="1"/>
    <xf numFmtId="165" fontId="0" fillId="3" borderId="0" xfId="1" applyNumberFormat="1" applyFont="1" applyFill="1"/>
    <xf numFmtId="165" fontId="0" fillId="3" borderId="0" xfId="0" applyNumberFormat="1" applyFill="1"/>
    <xf numFmtId="165" fontId="0" fillId="2" borderId="0" xfId="1" applyNumberFormat="1" applyFont="1" applyFill="1"/>
    <xf numFmtId="164" fontId="0" fillId="3" borderId="0" xfId="1" applyNumberFormat="1" applyFont="1" applyFill="1"/>
    <xf numFmtId="0" fontId="0" fillId="3" borderId="0" xfId="0" applyFill="1"/>
    <xf numFmtId="10" fontId="0" fillId="2" borderId="0" xfId="0" applyNumberFormat="1" applyFill="1"/>
    <xf numFmtId="166" fontId="0" fillId="2" borderId="0" xfId="1" applyNumberFormat="1" applyFont="1" applyFill="1"/>
    <xf numFmtId="164" fontId="0" fillId="3" borderId="0" xfId="0" applyNumberFormat="1" applyFill="1"/>
    <xf numFmtId="165" fontId="0" fillId="5" borderId="0" xfId="1" applyNumberFormat="1" applyFont="1" applyFill="1"/>
    <xf numFmtId="0" fontId="2" fillId="4" borderId="0" xfId="0" applyFont="1" applyFill="1"/>
    <xf numFmtId="0" fontId="0" fillId="2" borderId="0" xfId="0" quotePrefix="1" applyFill="1"/>
    <xf numFmtId="9" fontId="0" fillId="8" borderId="0" xfId="2" applyFont="1" applyFill="1"/>
    <xf numFmtId="0" fontId="5" fillId="0" borderId="0" xfId="0" applyFont="1"/>
    <xf numFmtId="0" fontId="0" fillId="0" borderId="0" xfId="0" quotePrefix="1"/>
    <xf numFmtId="0" fontId="6" fillId="0" borderId="0" xfId="0" applyFont="1"/>
    <xf numFmtId="0" fontId="6" fillId="0" borderId="0" xfId="0" applyFont="1" applyAlignment="1">
      <alignment horizontal="left" wrapText="1"/>
    </xf>
    <xf numFmtId="0" fontId="0" fillId="0" borderId="0" xfId="0" applyAlignment="1">
      <alignment horizontal="left"/>
    </xf>
    <xf numFmtId="0" fontId="0" fillId="0" borderId="0" xfId="0" applyAlignment="1">
      <alignment horizontal="center"/>
    </xf>
    <xf numFmtId="165" fontId="0" fillId="0" borderId="0" xfId="1" applyNumberFormat="1" applyFont="1" applyAlignment="1">
      <alignment horizontal="center"/>
    </xf>
    <xf numFmtId="0" fontId="0" fillId="2" borderId="0" xfId="0" applyFill="1" applyAlignment="1">
      <alignment horizontal="center"/>
    </xf>
    <xf numFmtId="10" fontId="0" fillId="0" borderId="0" xfId="0" applyNumberFormat="1" applyAlignment="1">
      <alignment horizontal="left"/>
    </xf>
    <xf numFmtId="166" fontId="0" fillId="3" borderId="0" xfId="0" applyNumberFormat="1" applyFill="1"/>
    <xf numFmtId="0" fontId="0" fillId="0" borderId="0" xfId="0" applyAlignment="1">
      <alignment vertical="top"/>
    </xf>
    <xf numFmtId="0" fontId="8" fillId="0" borderId="0" xfId="3" applyFont="1" applyAlignment="1">
      <alignment horizontal="center"/>
    </xf>
    <xf numFmtId="0" fontId="1" fillId="0" borderId="0" xfId="3"/>
    <xf numFmtId="0" fontId="9" fillId="0" borderId="0" xfId="3" applyFont="1"/>
    <xf numFmtId="0" fontId="10" fillId="0" borderId="0" xfId="3" applyFont="1" applyAlignment="1">
      <alignment horizontal="center"/>
    </xf>
    <xf numFmtId="0" fontId="1" fillId="0" borderId="0" xfId="3" applyAlignment="1">
      <alignment horizontal="right" vertical="top" indent="1"/>
    </xf>
    <xf numFmtId="0" fontId="11" fillId="0" borderId="0" xfId="3" applyFont="1" applyAlignment="1">
      <alignment horizontal="left" wrapText="1"/>
    </xf>
    <xf numFmtId="0" fontId="11" fillId="0" borderId="0" xfId="3" applyFont="1"/>
    <xf numFmtId="0" fontId="12" fillId="0" borderId="0" xfId="4"/>
    <xf numFmtId="0" fontId="13" fillId="0" borderId="0" xfId="4" applyFont="1"/>
    <xf numFmtId="0" fontId="14" fillId="0" borderId="0" xfId="3" applyFont="1"/>
    <xf numFmtId="0" fontId="15" fillId="0" borderId="0" xfId="3" applyFont="1" applyAlignment="1">
      <alignment horizontal="left"/>
    </xf>
    <xf numFmtId="0" fontId="15" fillId="0" borderId="0" xfId="3" applyFont="1" applyAlignment="1">
      <alignment horizontal="center"/>
    </xf>
    <xf numFmtId="0" fontId="15" fillId="0" borderId="0" xfId="3" applyFont="1" applyAlignment="1">
      <alignment horizontal="right"/>
    </xf>
  </cellXfs>
  <cellStyles count="5">
    <cellStyle name="Currency" xfId="1" builtinId="4"/>
    <cellStyle name="Hyperlink 2" xfId="4" xr:uid="{EC906869-EA1A-404D-BF2D-B468A541087E}"/>
    <cellStyle name="Normal" xfId="0" builtinId="0"/>
    <cellStyle name="Normal 2" xfId="3" xr:uid="{2B919936-9504-49B1-A189-D8169685DF8F}"/>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190501</xdr:colOff>
      <xdr:row>0</xdr:row>
      <xdr:rowOff>171451</xdr:rowOff>
    </xdr:from>
    <xdr:to>
      <xdr:col>2</xdr:col>
      <xdr:colOff>495301</xdr:colOff>
      <xdr:row>3</xdr:row>
      <xdr:rowOff>135542</xdr:rowOff>
    </xdr:to>
    <xdr:pic>
      <xdr:nvPicPr>
        <xdr:cNvPr id="2" name="Picture 1">
          <a:extLst>
            <a:ext uri="{FF2B5EF4-FFF2-40B4-BE49-F238E27FC236}">
              <a16:creationId xmlns:a16="http://schemas.microsoft.com/office/drawing/2014/main" id="{1AC9D806-A5CB-4232-9CF4-670999530B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167641"/>
          <a:ext cx="1524000" cy="514636"/>
        </a:xfrm>
        <a:prstGeom prst="rect">
          <a:avLst/>
        </a:prstGeom>
      </xdr:spPr>
    </xdr:pic>
    <xdr:clientData/>
  </xdr:twoCellAnchor>
  <xdr:twoCellAnchor>
    <xdr:from>
      <xdr:col>0</xdr:col>
      <xdr:colOff>285750</xdr:colOff>
      <xdr:row>8</xdr:row>
      <xdr:rowOff>57150</xdr:rowOff>
    </xdr:from>
    <xdr:to>
      <xdr:col>9</xdr:col>
      <xdr:colOff>590550</xdr:colOff>
      <xdr:row>8</xdr:row>
      <xdr:rowOff>66675</xdr:rowOff>
    </xdr:to>
    <xdr:cxnSp macro="">
      <xdr:nvCxnSpPr>
        <xdr:cNvPr id="3" name="Straight Connector 2">
          <a:extLst>
            <a:ext uri="{FF2B5EF4-FFF2-40B4-BE49-F238E27FC236}">
              <a16:creationId xmlns:a16="http://schemas.microsoft.com/office/drawing/2014/main" id="{9D44EFB0-6B95-42A1-910B-8A1C3D7E7534}"/>
            </a:ext>
          </a:extLst>
        </xdr:cNvPr>
        <xdr:cNvCxnSpPr/>
      </xdr:nvCxnSpPr>
      <xdr:spPr>
        <a:xfrm>
          <a:off x="281940" y="1729740"/>
          <a:ext cx="5791200" cy="11430"/>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295275</xdr:colOff>
      <xdr:row>4</xdr:row>
      <xdr:rowOff>152400</xdr:rowOff>
    </xdr:from>
    <xdr:to>
      <xdr:col>9</xdr:col>
      <xdr:colOff>600075</xdr:colOff>
      <xdr:row>4</xdr:row>
      <xdr:rowOff>161925</xdr:rowOff>
    </xdr:to>
    <xdr:cxnSp macro="">
      <xdr:nvCxnSpPr>
        <xdr:cNvPr id="4" name="Straight Connector 3">
          <a:extLst>
            <a:ext uri="{FF2B5EF4-FFF2-40B4-BE49-F238E27FC236}">
              <a16:creationId xmlns:a16="http://schemas.microsoft.com/office/drawing/2014/main" id="{F4693B27-6AE3-4528-8A6E-20ACFA2A0BFC}"/>
            </a:ext>
          </a:extLst>
        </xdr:cNvPr>
        <xdr:cNvCxnSpPr/>
      </xdr:nvCxnSpPr>
      <xdr:spPr>
        <a:xfrm>
          <a:off x="293370" y="876300"/>
          <a:ext cx="5791200" cy="11430"/>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511175</xdr:colOff>
      <xdr:row>23</xdr:row>
      <xdr:rowOff>40216</xdr:rowOff>
    </xdr:from>
    <xdr:ext cx="2166408" cy="173702"/>
    <xdr:sp macro="" textlink="">
      <xdr:nvSpPr>
        <xdr:cNvPr id="2" name="TextBox 1">
          <a:extLst>
            <a:ext uri="{FF2B5EF4-FFF2-40B4-BE49-F238E27FC236}">
              <a16:creationId xmlns:a16="http://schemas.microsoft.com/office/drawing/2014/main" id="{57697F18-4EB3-6A41-AAAC-01A732EDCDD5}"/>
            </a:ext>
          </a:extLst>
        </xdr:cNvPr>
        <xdr:cNvSpPr txBox="1"/>
      </xdr:nvSpPr>
      <xdr:spPr>
        <a:xfrm>
          <a:off x="5464175" y="3901016"/>
          <a:ext cx="2166408" cy="1737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511175</xdr:colOff>
      <xdr:row>23</xdr:row>
      <xdr:rowOff>40216</xdr:rowOff>
    </xdr:from>
    <xdr:ext cx="2166408" cy="173702"/>
    <xdr:sp macro="" textlink="">
      <xdr:nvSpPr>
        <xdr:cNvPr id="5" name="TextBox 4">
          <a:extLst>
            <a:ext uri="{FF2B5EF4-FFF2-40B4-BE49-F238E27FC236}">
              <a16:creationId xmlns:a16="http://schemas.microsoft.com/office/drawing/2014/main" id="{814CD8F3-ED05-EB34-7405-934A18652B70}"/>
            </a:ext>
          </a:extLst>
        </xdr:cNvPr>
        <xdr:cNvSpPr txBox="1"/>
      </xdr:nvSpPr>
      <xdr:spPr>
        <a:xfrm>
          <a:off x="5464175" y="2855383"/>
          <a:ext cx="2166408" cy="1737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ducation@soa.org?subject=Guided%20Examples%20Inquiry%20"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00491-B3FE-498C-9478-C32D890DC3EE}">
  <sheetPr>
    <tabColor rgb="FF0070C0"/>
    <pageSetUpPr autoPageBreaks="0"/>
  </sheetPr>
  <dimension ref="A6:K22"/>
  <sheetViews>
    <sheetView showGridLines="0" tabSelected="1" zoomScale="115" zoomScaleNormal="115" workbookViewId="0"/>
  </sheetViews>
  <sheetFormatPr defaultRowHeight="14.4" x14ac:dyDescent="0.3"/>
  <cols>
    <col min="1" max="16384" width="8.796875" style="59"/>
  </cols>
  <sheetData>
    <row r="6" spans="1:10" ht="33.6" x14ac:dyDescent="0.65">
      <c r="A6" s="58" t="s">
        <v>495</v>
      </c>
      <c r="B6" s="58"/>
      <c r="C6" s="58"/>
      <c r="D6" s="58"/>
      <c r="E6" s="58"/>
      <c r="F6" s="58"/>
      <c r="G6" s="58"/>
      <c r="H6" s="58"/>
      <c r="I6" s="58"/>
      <c r="J6" s="58"/>
    </row>
    <row r="7" spans="1:10" ht="6" customHeight="1" x14ac:dyDescent="0.3">
      <c r="A7" s="60"/>
      <c r="B7" s="60"/>
      <c r="C7" s="60"/>
      <c r="D7" s="60"/>
      <c r="E7" s="60"/>
      <c r="F7" s="60"/>
      <c r="G7" s="60"/>
      <c r="H7" s="60"/>
      <c r="I7" s="60"/>
      <c r="J7" s="60"/>
    </row>
    <row r="8" spans="1:10" ht="21" x14ac:dyDescent="0.4">
      <c r="A8" s="61" t="s">
        <v>505</v>
      </c>
      <c r="B8" s="61"/>
      <c r="C8" s="61"/>
      <c r="D8" s="61"/>
      <c r="E8" s="61"/>
      <c r="F8" s="61"/>
      <c r="G8" s="61"/>
      <c r="H8" s="61"/>
      <c r="I8" s="61"/>
      <c r="J8" s="61"/>
    </row>
    <row r="10" spans="1:10" ht="75" customHeight="1" x14ac:dyDescent="0.3">
      <c r="A10" s="62" t="s">
        <v>496</v>
      </c>
      <c r="B10" s="63" t="s">
        <v>497</v>
      </c>
      <c r="C10" s="63"/>
      <c r="D10" s="63"/>
      <c r="E10" s="63"/>
      <c r="F10" s="63"/>
      <c r="G10" s="63"/>
      <c r="H10" s="63"/>
      <c r="I10" s="63"/>
      <c r="J10" s="63"/>
    </row>
    <row r="11" spans="1:10" x14ac:dyDescent="0.3">
      <c r="B11" s="64"/>
      <c r="C11" s="64"/>
      <c r="D11" s="64"/>
      <c r="E11" s="64"/>
      <c r="F11" s="64"/>
      <c r="G11" s="64"/>
      <c r="H11" s="64"/>
      <c r="I11" s="64"/>
      <c r="J11" s="64"/>
    </row>
    <row r="12" spans="1:10" ht="45" customHeight="1" x14ac:dyDescent="0.3">
      <c r="A12" s="62" t="s">
        <v>496</v>
      </c>
      <c r="B12" s="63" t="s">
        <v>498</v>
      </c>
      <c r="C12" s="63"/>
      <c r="D12" s="63"/>
      <c r="E12" s="63"/>
      <c r="F12" s="63"/>
      <c r="G12" s="63"/>
      <c r="H12" s="63"/>
      <c r="I12" s="63"/>
      <c r="J12" s="63"/>
    </row>
    <row r="13" spans="1:10" x14ac:dyDescent="0.3">
      <c r="B13" s="64"/>
      <c r="C13" s="64"/>
      <c r="D13" s="64"/>
      <c r="E13" s="64"/>
      <c r="F13" s="64"/>
      <c r="G13" s="64"/>
      <c r="H13" s="64"/>
      <c r="I13" s="64"/>
      <c r="J13" s="64"/>
    </row>
    <row r="14" spans="1:10" ht="30" customHeight="1" x14ac:dyDescent="0.3">
      <c r="A14" s="62" t="s">
        <v>496</v>
      </c>
      <c r="B14" s="63" t="s">
        <v>499</v>
      </c>
      <c r="C14" s="63"/>
      <c r="D14" s="63"/>
      <c r="E14" s="63"/>
      <c r="F14" s="63"/>
      <c r="G14" s="63"/>
      <c r="H14" s="63"/>
      <c r="I14" s="63"/>
      <c r="J14" s="63"/>
    </row>
    <row r="15" spans="1:10" x14ac:dyDescent="0.3">
      <c r="B15" s="64"/>
      <c r="C15" s="64"/>
      <c r="D15" s="64"/>
      <c r="E15" s="64"/>
      <c r="F15" s="64"/>
      <c r="G15" s="64"/>
      <c r="H15" s="64"/>
      <c r="I15" s="64"/>
      <c r="J15" s="64"/>
    </row>
    <row r="16" spans="1:10" ht="46.2" customHeight="1" x14ac:dyDescent="0.3">
      <c r="A16" s="62" t="s">
        <v>496</v>
      </c>
      <c r="B16" s="63" t="s">
        <v>500</v>
      </c>
      <c r="C16" s="63"/>
      <c r="D16" s="63"/>
      <c r="E16" s="63"/>
      <c r="F16" s="63"/>
      <c r="G16" s="63"/>
      <c r="H16" s="63"/>
      <c r="I16" s="63"/>
      <c r="J16" s="63"/>
    </row>
    <row r="17" spans="1:11" x14ac:dyDescent="0.3">
      <c r="B17" s="64"/>
      <c r="C17" s="64"/>
      <c r="D17" s="64"/>
      <c r="E17" s="64"/>
      <c r="F17" s="64"/>
      <c r="G17" s="64"/>
      <c r="H17" s="64"/>
      <c r="I17" s="64"/>
      <c r="J17" s="64"/>
      <c r="K17" s="65"/>
    </row>
    <row r="18" spans="1:11" ht="58.8" customHeight="1" x14ac:dyDescent="0.3">
      <c r="A18" s="62" t="s">
        <v>496</v>
      </c>
      <c r="B18" s="63" t="s">
        <v>506</v>
      </c>
      <c r="C18" s="63"/>
      <c r="D18" s="63"/>
      <c r="E18" s="63"/>
      <c r="F18" s="63"/>
      <c r="G18" s="63"/>
      <c r="H18" s="63"/>
      <c r="I18" s="63"/>
      <c r="J18" s="63"/>
    </row>
    <row r="19" spans="1:11" x14ac:dyDescent="0.3">
      <c r="B19" s="66" t="s">
        <v>501</v>
      </c>
      <c r="C19" s="67"/>
      <c r="D19" s="67"/>
      <c r="E19" s="67"/>
      <c r="F19" s="67"/>
      <c r="G19" s="67"/>
      <c r="H19" s="67"/>
      <c r="I19" s="67"/>
      <c r="J19" s="67"/>
    </row>
    <row r="22" spans="1:11" x14ac:dyDescent="0.3">
      <c r="B22" s="68" t="s">
        <v>502</v>
      </c>
      <c r="C22" s="68"/>
      <c r="D22" s="69" t="s">
        <v>503</v>
      </c>
      <c r="E22" s="69"/>
      <c r="F22" s="69"/>
      <c r="G22" s="69"/>
      <c r="H22" s="70" t="s">
        <v>504</v>
      </c>
      <c r="I22" s="70"/>
      <c r="J22" s="70"/>
    </row>
  </sheetData>
  <mergeCells count="10">
    <mergeCell ref="B18:J18"/>
    <mergeCell ref="B22:C22"/>
    <mergeCell ref="D22:G22"/>
    <mergeCell ref="H22:J22"/>
    <mergeCell ref="A6:J6"/>
    <mergeCell ref="A8:J8"/>
    <mergeCell ref="B10:J10"/>
    <mergeCell ref="B12:J12"/>
    <mergeCell ref="B14:J14"/>
    <mergeCell ref="B16:J16"/>
  </mergeCells>
  <hyperlinks>
    <hyperlink ref="B19" r:id="rId1" xr:uid="{BFF461D9-BBD1-4B05-8A40-7AE82F2EDF2D}"/>
  </hyperlinks>
  <pageMargins left="0.7" right="0.7" top="0.75" bottom="0.75" header="0.3" footer="0.3"/>
  <pageSetup orientation="portrait"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2617A-05AA-9641-A251-B8587BBD742B}">
  <sheetPr>
    <tabColor theme="5" tint="0.39997558519241921"/>
  </sheetPr>
  <dimension ref="A1:BG70"/>
  <sheetViews>
    <sheetView zoomScale="115" zoomScaleNormal="115" workbookViewId="0"/>
  </sheetViews>
  <sheetFormatPr defaultColWidth="11.19921875" defaultRowHeight="15.6" x14ac:dyDescent="0.3"/>
  <cols>
    <col min="1" max="1" width="20.796875" customWidth="1"/>
    <col min="2" max="2" width="13.5" bestFit="1" customWidth="1"/>
    <col min="3" max="3" width="16" bestFit="1" customWidth="1"/>
    <col min="4" max="4" width="11.69921875" bestFit="1" customWidth="1"/>
    <col min="5" max="30" width="12.69921875" bestFit="1" customWidth="1"/>
    <col min="31" max="43" width="11.69921875" bestFit="1" customWidth="1"/>
    <col min="44" max="48" width="10.19921875" bestFit="1" customWidth="1"/>
    <col min="49" max="50" width="11.5" customWidth="1"/>
    <col min="51" max="51" width="12.5" customWidth="1"/>
    <col min="52" max="52" width="8" bestFit="1" customWidth="1"/>
    <col min="53" max="53" width="6.19921875" bestFit="1" customWidth="1"/>
  </cols>
  <sheetData>
    <row r="1" spans="1:59" x14ac:dyDescent="0.3">
      <c r="A1" s="49" t="s">
        <v>352</v>
      </c>
    </row>
    <row r="4" spans="1:59" hidden="1" x14ac:dyDescent="0.3"/>
    <row r="5" spans="1:59" hidden="1" x14ac:dyDescent="0.3"/>
    <row r="6" spans="1:59" hidden="1" x14ac:dyDescent="0.3"/>
    <row r="7" spans="1:59" hidden="1" x14ac:dyDescent="0.3"/>
    <row r="8" spans="1:59" hidden="1" x14ac:dyDescent="0.3"/>
    <row r="9" spans="1:59" hidden="1" x14ac:dyDescent="0.3"/>
    <row r="10" spans="1:59" x14ac:dyDescent="0.3">
      <c r="A10" t="s">
        <v>385</v>
      </c>
    </row>
    <row r="11" spans="1:59" x14ac:dyDescent="0.3">
      <c r="A11" t="s">
        <v>386</v>
      </c>
    </row>
    <row r="12" spans="1:59" x14ac:dyDescent="0.3">
      <c r="A12" t="s">
        <v>134</v>
      </c>
    </row>
    <row r="14" spans="1:59" x14ac:dyDescent="0.3">
      <c r="A14" s="2" t="s">
        <v>65</v>
      </c>
      <c r="B14">
        <v>1</v>
      </c>
      <c r="C14">
        <v>2</v>
      </c>
      <c r="D14">
        <v>3</v>
      </c>
      <c r="E14">
        <v>4</v>
      </c>
      <c r="F14">
        <v>5</v>
      </c>
      <c r="G14">
        <v>6</v>
      </c>
      <c r="H14">
        <v>7</v>
      </c>
      <c r="I14">
        <v>8</v>
      </c>
      <c r="J14">
        <v>9</v>
      </c>
      <c r="K14">
        <v>10</v>
      </c>
      <c r="L14">
        <v>11</v>
      </c>
      <c r="M14">
        <v>12</v>
      </c>
      <c r="N14">
        <v>13</v>
      </c>
      <c r="O14">
        <v>14</v>
      </c>
      <c r="P14">
        <v>15</v>
      </c>
      <c r="Q14">
        <v>16</v>
      </c>
      <c r="R14">
        <v>17</v>
      </c>
      <c r="S14">
        <v>18</v>
      </c>
      <c r="T14">
        <v>19</v>
      </c>
      <c r="U14">
        <v>20</v>
      </c>
      <c r="V14">
        <v>21</v>
      </c>
      <c r="W14">
        <v>22</v>
      </c>
      <c r="X14">
        <v>23</v>
      </c>
      <c r="Y14">
        <v>24</v>
      </c>
      <c r="Z14">
        <v>25</v>
      </c>
      <c r="AA14">
        <v>26</v>
      </c>
      <c r="AB14">
        <v>27</v>
      </c>
      <c r="AC14">
        <v>28</v>
      </c>
      <c r="AD14">
        <v>29</v>
      </c>
      <c r="AE14">
        <v>30</v>
      </c>
      <c r="AF14">
        <v>31</v>
      </c>
      <c r="AG14">
        <v>32</v>
      </c>
      <c r="AH14">
        <v>33</v>
      </c>
      <c r="AI14">
        <v>34</v>
      </c>
      <c r="AJ14">
        <v>35</v>
      </c>
      <c r="AK14">
        <v>36</v>
      </c>
      <c r="AL14">
        <v>37</v>
      </c>
      <c r="AM14">
        <v>38</v>
      </c>
      <c r="AN14">
        <v>39</v>
      </c>
      <c r="AO14">
        <v>40</v>
      </c>
      <c r="AP14">
        <v>41</v>
      </c>
      <c r="AQ14">
        <v>42</v>
      </c>
      <c r="AR14">
        <v>43</v>
      </c>
      <c r="AS14">
        <v>44</v>
      </c>
      <c r="AT14">
        <v>45</v>
      </c>
      <c r="AU14">
        <v>46</v>
      </c>
      <c r="AV14">
        <v>47</v>
      </c>
      <c r="AW14">
        <v>48</v>
      </c>
      <c r="AX14">
        <v>49</v>
      </c>
      <c r="AY14">
        <v>50</v>
      </c>
    </row>
    <row r="15" spans="1:59" x14ac:dyDescent="0.3">
      <c r="A15" s="2" t="s">
        <v>267</v>
      </c>
      <c r="B15" s="2">
        <v>460.99200000000059</v>
      </c>
      <c r="C15" s="2">
        <v>3538.9440000000018</v>
      </c>
      <c r="D15" s="2">
        <v>11451.456000000004</v>
      </c>
      <c r="E15" s="2">
        <v>26001.40800000001</v>
      </c>
      <c r="F15" s="2">
        <v>48599.999999999978</v>
      </c>
      <c r="G15" s="2">
        <v>80289.791999999987</v>
      </c>
      <c r="H15" s="2">
        <v>121767.74400000001</v>
      </c>
      <c r="I15" s="2">
        <v>173408.25599999999</v>
      </c>
      <c r="J15" s="2">
        <v>235286.20799999984</v>
      </c>
      <c r="K15" s="2">
        <v>307200</v>
      </c>
      <c r="L15" s="2">
        <v>388694.59199999995</v>
      </c>
      <c r="M15" s="2">
        <v>479084.54400000005</v>
      </c>
      <c r="N15" s="2">
        <v>577477.05600000033</v>
      </c>
      <c r="O15" s="2">
        <v>682795.00799999991</v>
      </c>
      <c r="P15" s="2">
        <v>793800.00000000023</v>
      </c>
      <c r="Q15" s="2">
        <v>909115.39200000011</v>
      </c>
      <c r="R15" s="2">
        <v>1027249.3440000005</v>
      </c>
      <c r="S15" s="2">
        <v>1146617.8559999997</v>
      </c>
      <c r="T15" s="2">
        <v>1265567.8080000002</v>
      </c>
      <c r="U15" s="2">
        <v>1382399.9999999998</v>
      </c>
      <c r="V15" s="2">
        <v>1495392.1919999998</v>
      </c>
      <c r="W15" s="2">
        <v>1602822.1439999996</v>
      </c>
      <c r="X15" s="2">
        <v>1702990.6559999997</v>
      </c>
      <c r="Y15" s="2">
        <v>1794244.6079999998</v>
      </c>
      <c r="Z15" s="2">
        <v>1875000</v>
      </c>
      <c r="AA15" s="2">
        <v>1943764.9919999999</v>
      </c>
      <c r="AB15" s="2">
        <v>1999162.9439999999</v>
      </c>
      <c r="AC15" s="2">
        <v>2039955.4559999995</v>
      </c>
      <c r="AD15" s="2">
        <v>2065065.4079999998</v>
      </c>
      <c r="AE15" s="2">
        <v>2073599.9999999995</v>
      </c>
      <c r="AF15" s="2">
        <v>2064873.7919999997</v>
      </c>
      <c r="AG15" s="2">
        <v>2038431.7439999995</v>
      </c>
      <c r="AH15" s="2">
        <v>1994072.2559999998</v>
      </c>
      <c r="AI15" s="2">
        <v>1931870.2079999996</v>
      </c>
      <c r="AJ15" s="2">
        <v>1852199.9999999998</v>
      </c>
      <c r="AK15" s="2">
        <v>1755758.5919999999</v>
      </c>
      <c r="AL15" s="2">
        <v>1643588.544</v>
      </c>
      <c r="AM15" s="2">
        <v>1517101.0560000001</v>
      </c>
      <c r="AN15" s="2">
        <v>1378099.0079999994</v>
      </c>
      <c r="AO15" s="2">
        <v>1228799.9999999995</v>
      </c>
      <c r="AP15" s="2">
        <v>1071859.3920000002</v>
      </c>
      <c r="AQ15" s="2">
        <v>910393.34400000004</v>
      </c>
      <c r="AR15" s="2">
        <v>748001.85600000015</v>
      </c>
      <c r="AS15" s="2">
        <v>588791.80799999961</v>
      </c>
      <c r="AT15" s="2">
        <v>437399.99999999971</v>
      </c>
      <c r="AU15" s="2">
        <v>299016.19199999963</v>
      </c>
      <c r="AV15" s="2">
        <v>179406.14400000029</v>
      </c>
      <c r="AW15" s="2">
        <v>84934.65600000009</v>
      </c>
      <c r="AX15" s="2">
        <v>22588.608000000033</v>
      </c>
      <c r="AY15" s="2">
        <v>0</v>
      </c>
      <c r="AZ15" s="2"/>
      <c r="BA15" s="2"/>
      <c r="BB15" s="2"/>
      <c r="BC15" s="2"/>
      <c r="BD15" s="2"/>
      <c r="BE15" s="2"/>
      <c r="BF15" s="2"/>
      <c r="BG15" s="2"/>
    </row>
    <row r="16" spans="1:59" ht="46.8" x14ac:dyDescent="0.3">
      <c r="A16" s="33" t="s">
        <v>261</v>
      </c>
      <c r="B16" s="12">
        <v>2.6693096312585825E-2</v>
      </c>
      <c r="C16" s="12">
        <v>2.8277881788646812E-2</v>
      </c>
      <c r="D16" s="4">
        <v>2.9762125746200411E-2</v>
      </c>
      <c r="E16" s="4">
        <v>3.1153004028118436E-2</v>
      </c>
      <c r="F16" s="4">
        <v>3.2457146179884336E-2</v>
      </c>
      <c r="G16" s="4">
        <v>3.3680678772151529E-2</v>
      </c>
      <c r="H16" s="4">
        <v>3.4829265189570469E-2</v>
      </c>
      <c r="I16" s="4">
        <v>3.5908142180128444E-2</v>
      </c>
      <c r="J16" s="4">
        <v>3.6922153434356633E-2</v>
      </c>
      <c r="K16" s="4">
        <v>3.7875780441000477E-2</v>
      </c>
      <c r="L16" s="4">
        <v>3.8773170844938892E-2</v>
      </c>
      <c r="M16" s="4">
        <v>3.9618164514105894E-2</v>
      </c>
      <c r="N16" s="4">
        <v>4.0414317504761876E-2</v>
      </c>
      <c r="O16" s="4">
        <v>4.1164924098540154E-2</v>
      </c>
      <c r="P16" s="4">
        <v>4.1873037070130029E-2</v>
      </c>
      <c r="Q16" s="4">
        <v>4.2541486331133083E-2</v>
      </c>
      <c r="R16" s="4">
        <v>4.3172896083438647E-2</v>
      </c>
      <c r="S16" s="4">
        <v>4.3769700604308626E-2</v>
      </c>
      <c r="T16" s="4">
        <v>4.4334158775153801E-2</v>
      </c>
      <c r="U16" s="4">
        <v>4.4868367456640718E-2</v>
      </c>
      <c r="V16" s="4">
        <v>4.537427380421636E-2</v>
      </c>
      <c r="W16" s="4">
        <v>4.5853686610309849E-2</v>
      </c>
      <c r="X16" s="4">
        <v>4.6308286752303529E-2</v>
      </c>
      <c r="Y16" s="4">
        <v>4.6739636818803929E-2</v>
      </c>
      <c r="Z16" s="4">
        <v>4.7149189980734578E-2</v>
      </c>
      <c r="AA16" s="4">
        <v>4.7538298168269877E-2</v>
      </c>
      <c r="AB16" s="4">
        <v>4.7908219609589346E-2</v>
      </c>
      <c r="AC16" s="4">
        <v>4.8260125782815216E-2</v>
      </c>
      <c r="AD16" s="4">
        <v>4.8595107828266981E-2</v>
      </c>
      <c r="AE16" s="4">
        <v>4.8914182464291744E-2</v>
      </c>
      <c r="AF16" s="4">
        <v>4.9218297446378872E-2</v>
      </c>
      <c r="AG16" s="4">
        <v>4.9508336606013378E-2</v>
      </c>
      <c r="AH16" s="4">
        <v>4.9785124502740419E-2</v>
      </c>
      <c r="AI16" s="4">
        <v>5.0049430720179824E-2</v>
      </c>
      <c r="AJ16" s="4">
        <v>5.0301973834223183E-2</v>
      </c>
      <c r="AK16" s="4">
        <v>5.0543425079348676E-2</v>
      </c>
      <c r="AL16" s="4">
        <v>5.0774411736881589E-2</v>
      </c>
      <c r="AM16" s="4">
        <v>5.0995520267096257E-2</v>
      </c>
      <c r="AN16" s="4">
        <v>5.1207299205282858E-2</v>
      </c>
      <c r="AO16" s="4">
        <v>5.1410261840276417E-2</v>
      </c>
      <c r="AP16" s="4">
        <v>5.1604888692454054E-2</v>
      </c>
      <c r="AQ16" s="4">
        <v>5.1791629806837311E-2</v>
      </c>
      <c r="AR16" s="4">
        <v>5.1970906875680706E-2</v>
      </c>
      <c r="AS16" s="4">
        <v>5.2143115203774404E-2</v>
      </c>
      <c r="AT16" s="4">
        <v>5.2308625528630769E-2</v>
      </c>
      <c r="AU16" s="4">
        <v>5.2467785706752645E-2</v>
      </c>
      <c r="AV16" s="4">
        <v>5.2620922276289221E-2</v>
      </c>
      <c r="AW16" s="4">
        <v>5.2768341905565772E-2</v>
      </c>
      <c r="AX16" s="4">
        <v>5.2910332736220887E-2</v>
      </c>
      <c r="AY16" s="4">
        <v>5.3047165628993594E-2</v>
      </c>
    </row>
    <row r="17" spans="1:3" s="2" customFormat="1" x14ac:dyDescent="0.3"/>
    <row r="18" spans="1:3" x14ac:dyDescent="0.3">
      <c r="A18" s="2"/>
      <c r="B18" s="11"/>
      <c r="C18" s="2"/>
    </row>
    <row r="19" spans="1:3" hidden="1" x14ac:dyDescent="0.3">
      <c r="A19" s="2"/>
      <c r="B19" s="11"/>
      <c r="C19" s="2"/>
    </row>
    <row r="20" spans="1:3" x14ac:dyDescent="0.3">
      <c r="A20" t="s">
        <v>135</v>
      </c>
      <c r="B20" s="5"/>
      <c r="C20" s="2"/>
    </row>
    <row r="21" spans="1:3" x14ac:dyDescent="0.3">
      <c r="A21" t="s">
        <v>387</v>
      </c>
      <c r="B21" s="2"/>
      <c r="C21" s="2"/>
    </row>
    <row r="22" spans="1:3" x14ac:dyDescent="0.3">
      <c r="B22" s="2"/>
      <c r="C22" s="2"/>
    </row>
    <row r="23" spans="1:3" x14ac:dyDescent="0.3">
      <c r="A23" t="s">
        <v>388</v>
      </c>
      <c r="B23" s="2"/>
      <c r="C23" s="2"/>
    </row>
    <row r="24" spans="1:3" hidden="1" x14ac:dyDescent="0.3"/>
    <row r="25" spans="1:3" hidden="1" x14ac:dyDescent="0.3"/>
    <row r="27" spans="1:3" x14ac:dyDescent="0.3">
      <c r="A27" t="s">
        <v>263</v>
      </c>
      <c r="B27" s="39"/>
    </row>
    <row r="28" spans="1:3" x14ac:dyDescent="0.3">
      <c r="B28" s="2"/>
      <c r="C28" s="2"/>
    </row>
    <row r="29" spans="1:3" x14ac:dyDescent="0.3">
      <c r="A29" t="s">
        <v>272</v>
      </c>
      <c r="B29" s="2"/>
      <c r="C29" s="2"/>
    </row>
    <row r="30" spans="1:3" hidden="1" x14ac:dyDescent="0.3"/>
    <row r="31" spans="1:3" hidden="1" x14ac:dyDescent="0.3"/>
    <row r="32" spans="1:3" hidden="1" x14ac:dyDescent="0.3"/>
    <row r="34" spans="1:3" x14ac:dyDescent="0.3">
      <c r="B34" s="2"/>
      <c r="C34" s="2"/>
    </row>
    <row r="35" spans="1:3" x14ac:dyDescent="0.3">
      <c r="A35" t="s">
        <v>390</v>
      </c>
      <c r="B35" s="2"/>
      <c r="C35" s="2"/>
    </row>
    <row r="36" spans="1:3" x14ac:dyDescent="0.3">
      <c r="A36" t="s">
        <v>273</v>
      </c>
      <c r="B36" s="2"/>
      <c r="C36" s="2"/>
    </row>
    <row r="37" spans="1:3" x14ac:dyDescent="0.3">
      <c r="B37" s="2"/>
      <c r="C37" s="2"/>
    </row>
    <row r="38" spans="1:3" x14ac:dyDescent="0.3">
      <c r="A38" t="s">
        <v>274</v>
      </c>
      <c r="B38" s="2"/>
      <c r="C38" s="2"/>
    </row>
    <row r="39" spans="1:3" x14ac:dyDescent="0.3">
      <c r="B39" s="2"/>
      <c r="C39" s="2"/>
    </row>
    <row r="40" spans="1:3" hidden="1" x14ac:dyDescent="0.3"/>
    <row r="41" spans="1:3" hidden="1" x14ac:dyDescent="0.3"/>
    <row r="42" spans="1:3" hidden="1" x14ac:dyDescent="0.3"/>
    <row r="43" spans="1:3" hidden="1" x14ac:dyDescent="0.3"/>
    <row r="44" spans="1:3" x14ac:dyDescent="0.3">
      <c r="A44" t="s">
        <v>79</v>
      </c>
      <c r="B44" s="35"/>
    </row>
    <row r="45" spans="1:3" x14ac:dyDescent="0.3">
      <c r="A45" t="s">
        <v>84</v>
      </c>
      <c r="B45" s="36"/>
    </row>
    <row r="46" spans="1:3" x14ac:dyDescent="0.3">
      <c r="A46" t="s">
        <v>277</v>
      </c>
      <c r="B46" s="36"/>
    </row>
    <row r="47" spans="1:3" x14ac:dyDescent="0.3">
      <c r="A47" t="s">
        <v>275</v>
      </c>
      <c r="B47" s="27"/>
    </row>
    <row r="48" spans="1:3" x14ac:dyDescent="0.3">
      <c r="A48" t="s">
        <v>276</v>
      </c>
      <c r="B48" s="35"/>
    </row>
    <row r="49" spans="1:3" x14ac:dyDescent="0.3">
      <c r="A49" t="s">
        <v>278</v>
      </c>
      <c r="B49" s="38"/>
    </row>
    <row r="50" spans="1:3" x14ac:dyDescent="0.3">
      <c r="A50" t="s">
        <v>279</v>
      </c>
      <c r="B50" s="38"/>
    </row>
    <row r="55" spans="1:3" x14ac:dyDescent="0.3">
      <c r="B55" s="2"/>
      <c r="C55" s="2"/>
    </row>
    <row r="56" spans="1:3" x14ac:dyDescent="0.3">
      <c r="B56" s="2"/>
      <c r="C56" s="2"/>
    </row>
    <row r="57" spans="1:3" x14ac:dyDescent="0.3">
      <c r="B57" s="2"/>
      <c r="C57" s="2"/>
    </row>
    <row r="58" spans="1:3" x14ac:dyDescent="0.3">
      <c r="B58" s="2"/>
      <c r="C58" s="2"/>
    </row>
    <row r="59" spans="1:3" x14ac:dyDescent="0.3">
      <c r="B59" s="2"/>
      <c r="C59" s="2"/>
    </row>
    <row r="60" spans="1:3" x14ac:dyDescent="0.3">
      <c r="B60" s="2"/>
      <c r="C60" s="2"/>
    </row>
    <row r="61" spans="1:3" x14ac:dyDescent="0.3">
      <c r="B61" s="2"/>
      <c r="C61" s="2"/>
    </row>
    <row r="62" spans="1:3" x14ac:dyDescent="0.3">
      <c r="B62" s="2"/>
      <c r="C62" s="2"/>
    </row>
    <row r="63" spans="1:3" x14ac:dyDescent="0.3">
      <c r="B63" s="2"/>
      <c r="C63" s="2"/>
    </row>
    <row r="64" spans="1:3" x14ac:dyDescent="0.3">
      <c r="B64" s="2"/>
      <c r="C64" s="2"/>
    </row>
    <row r="65" spans="2:3" x14ac:dyDescent="0.3">
      <c r="B65" s="2"/>
      <c r="C65" s="2"/>
    </row>
    <row r="66" spans="2:3" x14ac:dyDescent="0.3">
      <c r="B66" s="2"/>
      <c r="C66" s="2"/>
    </row>
    <row r="67" spans="2:3" x14ac:dyDescent="0.3">
      <c r="B67" s="2"/>
      <c r="C67" s="2"/>
    </row>
    <row r="68" spans="2:3" x14ac:dyDescent="0.3">
      <c r="B68" s="2"/>
      <c r="C68" s="2"/>
    </row>
    <row r="69" spans="2:3" x14ac:dyDescent="0.3">
      <c r="B69" s="2"/>
      <c r="C69" s="2"/>
    </row>
    <row r="70" spans="2:3" x14ac:dyDescent="0.3">
      <c r="B70" s="2"/>
      <c r="C70" s="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998FA-DE29-3E43-9F6A-B053D6E17AAD}">
  <sheetPr>
    <tabColor theme="9" tint="0.59999389629810485"/>
  </sheetPr>
  <dimension ref="A1:BG70"/>
  <sheetViews>
    <sheetView zoomScale="115" zoomScaleNormal="115" workbookViewId="0"/>
  </sheetViews>
  <sheetFormatPr defaultColWidth="11.19921875" defaultRowHeight="15.6" x14ac:dyDescent="0.3"/>
  <cols>
    <col min="1" max="1" width="20.796875" customWidth="1"/>
    <col min="2" max="2" width="13.5" bestFit="1" customWidth="1"/>
    <col min="3" max="3" width="16" bestFit="1" customWidth="1"/>
    <col min="4" max="4" width="11.69921875" bestFit="1" customWidth="1"/>
    <col min="5" max="30" width="12.69921875" bestFit="1" customWidth="1"/>
    <col min="31" max="43" width="11.69921875" bestFit="1" customWidth="1"/>
    <col min="44" max="48" width="10.19921875" bestFit="1" customWidth="1"/>
    <col min="49" max="50" width="11.5" customWidth="1"/>
    <col min="51" max="51" width="12.5" customWidth="1"/>
    <col min="52" max="52" width="8" bestFit="1" customWidth="1"/>
    <col min="53" max="53" width="6.19921875" bestFit="1" customWidth="1"/>
  </cols>
  <sheetData>
    <row r="1" spans="1:59" x14ac:dyDescent="0.3">
      <c r="A1" s="49" t="s">
        <v>482</v>
      </c>
    </row>
    <row r="3" spans="1:59" x14ac:dyDescent="0.3">
      <c r="A3" s="49" t="s">
        <v>345</v>
      </c>
    </row>
    <row r="4" spans="1:59" x14ac:dyDescent="0.3">
      <c r="A4" t="s">
        <v>481</v>
      </c>
    </row>
    <row r="6" spans="1:59" x14ac:dyDescent="0.3">
      <c r="A6" s="49" t="s">
        <v>305</v>
      </c>
    </row>
    <row r="7" spans="1:59" x14ac:dyDescent="0.3">
      <c r="A7" t="s">
        <v>308</v>
      </c>
    </row>
    <row r="8" spans="1:59" x14ac:dyDescent="0.3">
      <c r="A8" t="s">
        <v>309</v>
      </c>
    </row>
    <row r="10" spans="1:59" x14ac:dyDescent="0.3">
      <c r="A10" t="s">
        <v>385</v>
      </c>
    </row>
    <row r="11" spans="1:59" x14ac:dyDescent="0.3">
      <c r="A11" t="s">
        <v>386</v>
      </c>
    </row>
    <row r="12" spans="1:59" x14ac:dyDescent="0.3">
      <c r="A12" t="s">
        <v>134</v>
      </c>
    </row>
    <row r="14" spans="1:59" x14ac:dyDescent="0.3">
      <c r="A14" s="2" t="s">
        <v>65</v>
      </c>
      <c r="B14">
        <v>1</v>
      </c>
      <c r="C14">
        <v>2</v>
      </c>
      <c r="D14">
        <v>3</v>
      </c>
      <c r="E14">
        <v>4</v>
      </c>
      <c r="F14">
        <v>5</v>
      </c>
      <c r="G14">
        <v>6</v>
      </c>
      <c r="H14">
        <v>7</v>
      </c>
      <c r="I14">
        <v>8</v>
      </c>
      <c r="J14">
        <v>9</v>
      </c>
      <c r="K14">
        <v>10</v>
      </c>
      <c r="L14">
        <v>11</v>
      </c>
      <c r="M14">
        <v>12</v>
      </c>
      <c r="N14">
        <v>13</v>
      </c>
      <c r="O14">
        <v>14</v>
      </c>
      <c r="P14">
        <v>15</v>
      </c>
      <c r="Q14">
        <v>16</v>
      </c>
      <c r="R14">
        <v>17</v>
      </c>
      <c r="S14">
        <v>18</v>
      </c>
      <c r="T14">
        <v>19</v>
      </c>
      <c r="U14">
        <v>20</v>
      </c>
      <c r="V14">
        <v>21</v>
      </c>
      <c r="W14">
        <v>22</v>
      </c>
      <c r="X14">
        <v>23</v>
      </c>
      <c r="Y14">
        <v>24</v>
      </c>
      <c r="Z14">
        <v>25</v>
      </c>
      <c r="AA14">
        <v>26</v>
      </c>
      <c r="AB14">
        <v>27</v>
      </c>
      <c r="AC14">
        <v>28</v>
      </c>
      <c r="AD14">
        <v>29</v>
      </c>
      <c r="AE14">
        <v>30</v>
      </c>
      <c r="AF14">
        <v>31</v>
      </c>
      <c r="AG14">
        <v>32</v>
      </c>
      <c r="AH14">
        <v>33</v>
      </c>
      <c r="AI14">
        <v>34</v>
      </c>
      <c r="AJ14">
        <v>35</v>
      </c>
      <c r="AK14">
        <v>36</v>
      </c>
      <c r="AL14">
        <v>37</v>
      </c>
      <c r="AM14">
        <v>38</v>
      </c>
      <c r="AN14">
        <v>39</v>
      </c>
      <c r="AO14">
        <v>40</v>
      </c>
      <c r="AP14">
        <v>41</v>
      </c>
      <c r="AQ14">
        <v>42</v>
      </c>
      <c r="AR14">
        <v>43</v>
      </c>
      <c r="AS14">
        <v>44</v>
      </c>
      <c r="AT14">
        <v>45</v>
      </c>
      <c r="AU14">
        <v>46</v>
      </c>
      <c r="AV14">
        <v>47</v>
      </c>
      <c r="AW14">
        <v>48</v>
      </c>
      <c r="AX14">
        <v>49</v>
      </c>
      <c r="AY14">
        <v>50</v>
      </c>
    </row>
    <row r="15" spans="1:59" x14ac:dyDescent="0.3">
      <c r="A15" s="2" t="s">
        <v>267</v>
      </c>
      <c r="B15" s="2">
        <v>460.99200000000059</v>
      </c>
      <c r="C15" s="2">
        <v>3538.9440000000018</v>
      </c>
      <c r="D15" s="2">
        <v>11451.456000000004</v>
      </c>
      <c r="E15" s="2">
        <v>26001.40800000001</v>
      </c>
      <c r="F15" s="2">
        <v>48599.999999999978</v>
      </c>
      <c r="G15" s="2">
        <v>80289.791999999987</v>
      </c>
      <c r="H15" s="2">
        <v>121767.74400000001</v>
      </c>
      <c r="I15" s="2">
        <v>173408.25599999999</v>
      </c>
      <c r="J15" s="2">
        <v>235286.20799999984</v>
      </c>
      <c r="K15" s="2">
        <v>307200</v>
      </c>
      <c r="L15" s="2">
        <v>388694.59199999995</v>
      </c>
      <c r="M15" s="2">
        <v>479084.54400000005</v>
      </c>
      <c r="N15" s="2">
        <v>577477.05600000033</v>
      </c>
      <c r="O15" s="2">
        <v>682795.00799999991</v>
      </c>
      <c r="P15" s="2">
        <v>793800.00000000023</v>
      </c>
      <c r="Q15" s="2">
        <v>909115.39200000011</v>
      </c>
      <c r="R15" s="2">
        <v>1027249.3440000005</v>
      </c>
      <c r="S15" s="2">
        <v>1146617.8559999997</v>
      </c>
      <c r="T15" s="2">
        <v>1265567.8080000002</v>
      </c>
      <c r="U15" s="2">
        <v>1382399.9999999998</v>
      </c>
      <c r="V15" s="2">
        <v>1495392.1919999998</v>
      </c>
      <c r="W15" s="2">
        <v>1602822.1439999996</v>
      </c>
      <c r="X15" s="2">
        <v>1702990.6559999997</v>
      </c>
      <c r="Y15" s="2">
        <v>1794244.6079999998</v>
      </c>
      <c r="Z15" s="2">
        <v>1875000</v>
      </c>
      <c r="AA15" s="2">
        <v>1943764.9919999999</v>
      </c>
      <c r="AB15" s="2">
        <v>1999162.9439999999</v>
      </c>
      <c r="AC15" s="2">
        <v>2039955.4559999995</v>
      </c>
      <c r="AD15" s="2">
        <v>2065065.4079999998</v>
      </c>
      <c r="AE15" s="2">
        <v>2073599.9999999995</v>
      </c>
      <c r="AF15" s="2">
        <v>2064873.7919999997</v>
      </c>
      <c r="AG15" s="2">
        <v>2038431.7439999995</v>
      </c>
      <c r="AH15" s="2">
        <v>1994072.2559999998</v>
      </c>
      <c r="AI15" s="2">
        <v>1931870.2079999996</v>
      </c>
      <c r="AJ15" s="2">
        <v>1852199.9999999998</v>
      </c>
      <c r="AK15" s="2">
        <v>1755758.5919999999</v>
      </c>
      <c r="AL15" s="2">
        <v>1643588.544</v>
      </c>
      <c r="AM15" s="2">
        <v>1517101.0560000001</v>
      </c>
      <c r="AN15" s="2">
        <v>1378099.0079999994</v>
      </c>
      <c r="AO15" s="2">
        <v>1228799.9999999995</v>
      </c>
      <c r="AP15" s="2">
        <v>1071859.3920000002</v>
      </c>
      <c r="AQ15" s="2">
        <v>910393.34400000004</v>
      </c>
      <c r="AR15" s="2">
        <v>748001.85600000015</v>
      </c>
      <c r="AS15" s="2">
        <v>588791.80799999961</v>
      </c>
      <c r="AT15" s="2">
        <v>437399.99999999971</v>
      </c>
      <c r="AU15" s="2">
        <v>299016.19199999963</v>
      </c>
      <c r="AV15" s="2">
        <v>179406.14400000029</v>
      </c>
      <c r="AW15" s="2">
        <v>84934.65600000009</v>
      </c>
      <c r="AX15" s="2">
        <v>22588.608000000033</v>
      </c>
      <c r="AY15" s="2">
        <v>0</v>
      </c>
      <c r="AZ15" s="2"/>
      <c r="BA15" s="2"/>
      <c r="BB15" s="2"/>
      <c r="BC15" s="2"/>
      <c r="BD15" s="2"/>
      <c r="BE15" s="2"/>
      <c r="BF15" s="2"/>
      <c r="BG15" s="2"/>
    </row>
    <row r="16" spans="1:59" ht="46.8" x14ac:dyDescent="0.3">
      <c r="A16" s="33" t="s">
        <v>261</v>
      </c>
      <c r="B16" s="12">
        <v>2.6693096312585825E-2</v>
      </c>
      <c r="C16" s="12">
        <v>2.8277881788646812E-2</v>
      </c>
      <c r="D16" s="4">
        <v>2.9762125746200411E-2</v>
      </c>
      <c r="E16" s="4">
        <v>3.1153004028118436E-2</v>
      </c>
      <c r="F16" s="4">
        <v>3.2457146179884336E-2</v>
      </c>
      <c r="G16" s="4">
        <v>3.3680678772151529E-2</v>
      </c>
      <c r="H16" s="4">
        <v>3.4829265189570469E-2</v>
      </c>
      <c r="I16" s="4">
        <v>3.5908142180128444E-2</v>
      </c>
      <c r="J16" s="4">
        <v>3.6922153434356633E-2</v>
      </c>
      <c r="K16" s="4">
        <v>3.7875780441000477E-2</v>
      </c>
      <c r="L16" s="4">
        <v>3.8773170844938892E-2</v>
      </c>
      <c r="M16" s="4">
        <v>3.9618164514105894E-2</v>
      </c>
      <c r="N16" s="4">
        <v>4.0414317504761876E-2</v>
      </c>
      <c r="O16" s="4">
        <v>4.1164924098540154E-2</v>
      </c>
      <c r="P16" s="4">
        <v>4.1873037070130029E-2</v>
      </c>
      <c r="Q16" s="4">
        <v>4.2541486331133083E-2</v>
      </c>
      <c r="R16" s="4">
        <v>4.3172896083438647E-2</v>
      </c>
      <c r="S16" s="4">
        <v>4.3769700604308626E-2</v>
      </c>
      <c r="T16" s="4">
        <v>4.4334158775153801E-2</v>
      </c>
      <c r="U16" s="4">
        <v>4.4868367456640718E-2</v>
      </c>
      <c r="V16" s="4">
        <v>4.537427380421636E-2</v>
      </c>
      <c r="W16" s="4">
        <v>4.5853686610309849E-2</v>
      </c>
      <c r="X16" s="4">
        <v>4.6308286752303529E-2</v>
      </c>
      <c r="Y16" s="4">
        <v>4.6739636818803929E-2</v>
      </c>
      <c r="Z16" s="4">
        <v>4.7149189980734578E-2</v>
      </c>
      <c r="AA16" s="4">
        <v>4.7538298168269877E-2</v>
      </c>
      <c r="AB16" s="4">
        <v>4.7908219609589346E-2</v>
      </c>
      <c r="AC16" s="4">
        <v>4.8260125782815216E-2</v>
      </c>
      <c r="AD16" s="4">
        <v>4.8595107828266981E-2</v>
      </c>
      <c r="AE16" s="4">
        <v>4.8914182464291744E-2</v>
      </c>
      <c r="AF16" s="4">
        <v>4.9218297446378872E-2</v>
      </c>
      <c r="AG16" s="4">
        <v>4.9508336606013378E-2</v>
      </c>
      <c r="AH16" s="4">
        <v>4.9785124502740419E-2</v>
      </c>
      <c r="AI16" s="4">
        <v>5.0049430720179824E-2</v>
      </c>
      <c r="AJ16" s="4">
        <v>5.0301973834223183E-2</v>
      </c>
      <c r="AK16" s="4">
        <v>5.0543425079348676E-2</v>
      </c>
      <c r="AL16" s="4">
        <v>5.0774411736881589E-2</v>
      </c>
      <c r="AM16" s="4">
        <v>5.0995520267096257E-2</v>
      </c>
      <c r="AN16" s="4">
        <v>5.1207299205282858E-2</v>
      </c>
      <c r="AO16" s="4">
        <v>5.1410261840276417E-2</v>
      </c>
      <c r="AP16" s="4">
        <v>5.1604888692454054E-2</v>
      </c>
      <c r="AQ16" s="4">
        <v>5.1791629806837311E-2</v>
      </c>
      <c r="AR16" s="4">
        <v>5.1970906875680706E-2</v>
      </c>
      <c r="AS16" s="4">
        <v>5.2143115203774404E-2</v>
      </c>
      <c r="AT16" s="4">
        <v>5.2308625528630769E-2</v>
      </c>
      <c r="AU16" s="4">
        <v>5.2467785706752645E-2</v>
      </c>
      <c r="AV16" s="4">
        <v>5.2620922276289221E-2</v>
      </c>
      <c r="AW16" s="4">
        <v>5.2768341905565772E-2</v>
      </c>
      <c r="AX16" s="4">
        <v>5.2910332736220887E-2</v>
      </c>
      <c r="AY16" s="4">
        <v>5.3047165628993594E-2</v>
      </c>
    </row>
    <row r="17" spans="1:51" x14ac:dyDescent="0.3">
      <c r="A17" s="17" t="s">
        <v>77</v>
      </c>
      <c r="B17" s="17">
        <f>EXP(-B14*B16)</f>
        <v>0.97366001552362258</v>
      </c>
      <c r="C17" s="17">
        <f t="shared" ref="C17:AY17" si="0">EXP(-C14*C16)</f>
        <v>0.94501378567654204</v>
      </c>
      <c r="D17" s="17">
        <f t="shared" si="0"/>
        <v>0.91458362013588668</v>
      </c>
      <c r="E17" s="17">
        <f t="shared" si="0"/>
        <v>0.88283936359397097</v>
      </c>
      <c r="F17" s="17">
        <f t="shared" si="0"/>
        <v>0.8501982419225711</v>
      </c>
      <c r="G17" s="17">
        <f t="shared" si="0"/>
        <v>0.81702623550792519</v>
      </c>
      <c r="H17" s="17">
        <f t="shared" si="0"/>
        <v>0.78364054183655552</v>
      </c>
      <c r="I17" s="17">
        <f t="shared" si="0"/>
        <v>0.75031276645517686</v>
      </c>
      <c r="J17" s="17">
        <f t="shared" si="0"/>
        <v>0.71727255299798232</v>
      </c>
      <c r="K17" s="17">
        <f t="shared" si="0"/>
        <v>0.68471142667371676</v>
      </c>
      <c r="L17" s="17">
        <f t="shared" si="0"/>
        <v>0.65278668042943544</v>
      </c>
      <c r="M17" s="17">
        <f t="shared" si="0"/>
        <v>0.62162517889000246</v>
      </c>
      <c r="N17" s="17">
        <f t="shared" si="0"/>
        <v>0.59132699262938915</v>
      </c>
      <c r="O17" s="17">
        <f t="shared" si="0"/>
        <v>0.56196880520618553</v>
      </c>
      <c r="P17" s="17">
        <f t="shared" si="0"/>
        <v>0.53360705868292024</v>
      </c>
      <c r="Q17" s="17">
        <f t="shared" si="0"/>
        <v>0.50628082106519712</v>
      </c>
      <c r="R17" s="17">
        <f t="shared" si="0"/>
        <v>0.48001437221279974</v>
      </c>
      <c r="S17" s="17">
        <f t="shared" si="0"/>
        <v>0.45481951417122246</v>
      </c>
      <c r="T17" s="17">
        <f t="shared" si="0"/>
        <v>0.4306976183192055</v>
      </c>
      <c r="U17" s="17">
        <f t="shared" si="0"/>
        <v>0.40764142588189639</v>
      </c>
      <c r="V17" s="17">
        <f t="shared" si="0"/>
        <v>0.38563662076618027</v>
      </c>
      <c r="W17" s="17">
        <f t="shared" si="0"/>
        <v>0.36466319477992915</v>
      </c>
      <c r="X17" s="17">
        <f t="shared" si="0"/>
        <v>0.3446966254574072</v>
      </c>
      <c r="Y17" s="17">
        <f t="shared" si="0"/>
        <v>0.32570888621016786</v>
      </c>
      <c r="Z17" s="17">
        <f t="shared" si="0"/>
        <v>0.30766930757453254</v>
      </c>
      <c r="AA17" s="17">
        <f t="shared" si="0"/>
        <v>0.29054530709928866</v>
      </c>
      <c r="AB17" s="17">
        <f t="shared" si="0"/>
        <v>0.27430300403475211</v>
      </c>
      <c r="AC17" s="17">
        <f t="shared" si="0"/>
        <v>0.2589077335376776</v>
      </c>
      <c r="AD17" s="17">
        <f t="shared" si="0"/>
        <v>0.24432447366038046</v>
      </c>
      <c r="AE17" s="17">
        <f t="shared" si="0"/>
        <v>0.23051819699139472</v>
      </c>
      <c r="AF17" s="17">
        <f t="shared" si="0"/>
        <v>0.21745415748820049</v>
      </c>
      <c r="AG17" s="17">
        <f t="shared" si="0"/>
        <v>0.20509812180768258</v>
      </c>
      <c r="AH17" s="17">
        <f t="shared" si="0"/>
        <v>0.19341655330621016</v>
      </c>
      <c r="AI17" s="17">
        <f t="shared" si="0"/>
        <v>0.18237675585168159</v>
      </c>
      <c r="AJ17" s="17">
        <f t="shared" si="0"/>
        <v>0.17194698366340189</v>
      </c>
      <c r="AK17" s="17">
        <f t="shared" si="0"/>
        <v>0.16209652256823914</v>
      </c>
      <c r="AL17" s="17">
        <f t="shared" si="0"/>
        <v>0.1527957473273035</v>
      </c>
      <c r="AM17" s="17">
        <f t="shared" si="0"/>
        <v>0.14401615903951287</v>
      </c>
      <c r="AN17" s="17">
        <f t="shared" si="0"/>
        <v>0.13573040605946504</v>
      </c>
      <c r="AO17" s="17">
        <f t="shared" si="0"/>
        <v>0.12791229136953675</v>
      </c>
      <c r="AP17" s="17">
        <f t="shared" si="0"/>
        <v>0.1205367689127501</v>
      </c>
      <c r="AQ17" s="17">
        <f t="shared" si="0"/>
        <v>0.11357993101671768</v>
      </c>
      <c r="AR17" s="17">
        <f t="shared" si="0"/>
        <v>0.10701898871337077</v>
      </c>
      <c r="AS17" s="17">
        <f t="shared" si="0"/>
        <v>0.10083224647819622</v>
      </c>
      <c r="AT17" s="17">
        <f t="shared" si="0"/>
        <v>9.4999072670881118E-2</v>
      </c>
      <c r="AU17" s="17">
        <f t="shared" si="0"/>
        <v>8.9499866751667337E-2</v>
      </c>
      <c r="AV17" s="17">
        <f t="shared" si="0"/>
        <v>8.4316024169934903E-2</v>
      </c>
      <c r="AW17" s="17">
        <f t="shared" si="0"/>
        <v>7.9429899669642659E-2</v>
      </c>
      <c r="AX17" s="17">
        <f t="shared" si="0"/>
        <v>7.4824769626791465E-2</v>
      </c>
      <c r="AY17" s="17">
        <f t="shared" si="0"/>
        <v>7.0484793923981201E-2</v>
      </c>
    </row>
    <row r="18" spans="1:51" x14ac:dyDescent="0.3">
      <c r="A18" s="2"/>
      <c r="B18" s="11"/>
      <c r="C18" s="2"/>
    </row>
    <row r="19" spans="1:51" x14ac:dyDescent="0.3">
      <c r="A19" s="2"/>
      <c r="B19" s="11"/>
      <c r="C19" s="2"/>
    </row>
    <row r="20" spans="1:51" x14ac:dyDescent="0.3">
      <c r="A20" t="s">
        <v>135</v>
      </c>
      <c r="B20" s="5"/>
      <c r="C20" s="2"/>
    </row>
    <row r="21" spans="1:51" x14ac:dyDescent="0.3">
      <c r="A21" t="s">
        <v>387</v>
      </c>
      <c r="B21" s="2"/>
      <c r="C21" s="2"/>
    </row>
    <row r="22" spans="1:51" x14ac:dyDescent="0.3">
      <c r="B22" s="2"/>
      <c r="C22" s="2"/>
    </row>
    <row r="23" spans="1:51" x14ac:dyDescent="0.3">
      <c r="A23" t="s">
        <v>388</v>
      </c>
      <c r="B23" s="2"/>
      <c r="C23" s="2"/>
    </row>
    <row r="24" spans="1:51" x14ac:dyDescent="0.3">
      <c r="A24" s="17" t="s">
        <v>264</v>
      </c>
      <c r="B24" s="2"/>
      <c r="C24" s="2"/>
    </row>
    <row r="25" spans="1:51" x14ac:dyDescent="0.3">
      <c r="A25" s="17" t="s">
        <v>266</v>
      </c>
      <c r="B25" s="2">
        <f>SUMPRODUCT(B15:AY15,B17:AY17)</f>
        <v>14051797.732725658</v>
      </c>
      <c r="C25" s="2"/>
      <c r="E25" s="23" t="s">
        <v>262</v>
      </c>
    </row>
    <row r="26" spans="1:51" x14ac:dyDescent="0.3">
      <c r="A26" s="17" t="s">
        <v>265</v>
      </c>
      <c r="B26" s="2">
        <f>SUMPRODUCT(AF15:AY15,AF17:AY17)</f>
        <v>3485938.5897791386</v>
      </c>
      <c r="C26" s="2"/>
    </row>
    <row r="27" spans="1:51" x14ac:dyDescent="0.3">
      <c r="A27" t="s">
        <v>263</v>
      </c>
      <c r="B27" s="34">
        <f>B26/B25</f>
        <v>0.24807776599720266</v>
      </c>
      <c r="C27" s="2"/>
    </row>
    <row r="28" spans="1:51" x14ac:dyDescent="0.3">
      <c r="B28" s="2"/>
      <c r="C28" s="2"/>
    </row>
    <row r="29" spans="1:51" x14ac:dyDescent="0.3">
      <c r="A29" t="s">
        <v>272</v>
      </c>
      <c r="B29" s="2"/>
      <c r="C29" s="2"/>
    </row>
    <row r="30" spans="1:51" x14ac:dyDescent="0.3">
      <c r="A30" s="17" t="s">
        <v>268</v>
      </c>
      <c r="B30" s="17" t="s">
        <v>389</v>
      </c>
      <c r="C30" s="2"/>
      <c r="E30" s="23" t="s">
        <v>262</v>
      </c>
    </row>
    <row r="31" spans="1:51" x14ac:dyDescent="0.3">
      <c r="A31" s="17" t="s">
        <v>269</v>
      </c>
      <c r="B31" s="17" t="s">
        <v>389</v>
      </c>
      <c r="C31" s="2"/>
      <c r="E31" s="23" t="s">
        <v>262</v>
      </c>
    </row>
    <row r="32" spans="1:51" x14ac:dyDescent="0.3">
      <c r="A32" s="17" t="s">
        <v>270</v>
      </c>
      <c r="B32" s="17" t="s">
        <v>389</v>
      </c>
      <c r="C32" s="2"/>
      <c r="E32" s="23" t="s">
        <v>271</v>
      </c>
    </row>
    <row r="33" spans="1:6" x14ac:dyDescent="0.3">
      <c r="B33" s="2"/>
      <c r="C33" s="2"/>
    </row>
    <row r="34" spans="1:6" x14ac:dyDescent="0.3">
      <c r="B34" s="2"/>
      <c r="C34" s="2"/>
    </row>
    <row r="35" spans="1:6" x14ac:dyDescent="0.3">
      <c r="A35" t="s">
        <v>390</v>
      </c>
      <c r="B35" s="2"/>
      <c r="C35" s="2"/>
    </row>
    <row r="36" spans="1:6" x14ac:dyDescent="0.3">
      <c r="A36" t="s">
        <v>273</v>
      </c>
      <c r="B36" s="2"/>
      <c r="C36" s="2"/>
    </row>
    <row r="37" spans="1:6" x14ac:dyDescent="0.3">
      <c r="B37" s="2"/>
      <c r="C37" s="2"/>
    </row>
    <row r="38" spans="1:6" x14ac:dyDescent="0.3">
      <c r="A38" t="s">
        <v>274</v>
      </c>
      <c r="B38" s="2"/>
      <c r="C38" s="2"/>
    </row>
    <row r="39" spans="1:6" x14ac:dyDescent="0.3">
      <c r="B39" s="2"/>
      <c r="C39" s="2"/>
    </row>
    <row r="40" spans="1:6" x14ac:dyDescent="0.3">
      <c r="A40" s="17" t="s">
        <v>281</v>
      </c>
      <c r="B40" s="37"/>
      <c r="C40" s="17" t="s">
        <v>280</v>
      </c>
    </row>
    <row r="41" spans="1:6" x14ac:dyDescent="0.3">
      <c r="A41" s="17" t="s">
        <v>282</v>
      </c>
      <c r="B41" s="17"/>
      <c r="C41" s="17" t="s">
        <v>392</v>
      </c>
      <c r="F41" s="23" t="s">
        <v>391</v>
      </c>
    </row>
    <row r="44" spans="1:6" x14ac:dyDescent="0.3">
      <c r="A44" t="s">
        <v>79</v>
      </c>
      <c r="B44" s="35">
        <f>SUMPRODUCT(B15:AE15,B17:AE17)</f>
        <v>10565859.142946523</v>
      </c>
    </row>
    <row r="45" spans="1:6" x14ac:dyDescent="0.3">
      <c r="A45" t="s">
        <v>84</v>
      </c>
      <c r="B45" s="36">
        <f>1.15*B44</f>
        <v>12150738.0143885</v>
      </c>
    </row>
    <row r="46" spans="1:6" x14ac:dyDescent="0.3">
      <c r="A46" t="s">
        <v>277</v>
      </c>
      <c r="B46" s="36">
        <f>B45-B44</f>
        <v>1584878.8714419771</v>
      </c>
    </row>
    <row r="47" spans="1:6" x14ac:dyDescent="0.3">
      <c r="A47" t="s">
        <v>275</v>
      </c>
      <c r="B47" s="27">
        <f>SUMPRODUCT(B14:AE14,B15:AE15,B17:AE17)/SUMPRODUCT(B15:AE15,B17:AE17)</f>
        <v>20.397806017621026</v>
      </c>
    </row>
    <row r="48" spans="1:6" x14ac:dyDescent="0.3">
      <c r="A48" t="s">
        <v>276</v>
      </c>
      <c r="B48" s="35">
        <f>B47*B44</f>
        <v>215520345.2073307</v>
      </c>
      <c r="C48" s="17" t="s">
        <v>393</v>
      </c>
    </row>
    <row r="49" spans="1:3" x14ac:dyDescent="0.3">
      <c r="A49" t="s">
        <v>278</v>
      </c>
      <c r="B49" s="38">
        <f>(B46*(-5)+B48)/B45</f>
        <v>17.085048710974807</v>
      </c>
    </row>
    <row r="50" spans="1:3" x14ac:dyDescent="0.3">
      <c r="A50" t="s">
        <v>279</v>
      </c>
      <c r="B50" s="38">
        <f>(B46*(10)+B48)/B45</f>
        <v>19.04157045010524</v>
      </c>
    </row>
    <row r="55" spans="1:3" x14ac:dyDescent="0.3">
      <c r="B55" s="2"/>
      <c r="C55" s="2"/>
    </row>
    <row r="56" spans="1:3" x14ac:dyDescent="0.3">
      <c r="B56" s="2"/>
      <c r="C56" s="2"/>
    </row>
    <row r="57" spans="1:3" x14ac:dyDescent="0.3">
      <c r="B57" s="2"/>
      <c r="C57" s="2"/>
    </row>
    <row r="58" spans="1:3" x14ac:dyDescent="0.3">
      <c r="B58" s="2"/>
      <c r="C58" s="2"/>
    </row>
    <row r="59" spans="1:3" x14ac:dyDescent="0.3">
      <c r="B59" s="2"/>
      <c r="C59" s="2"/>
    </row>
    <row r="60" spans="1:3" x14ac:dyDescent="0.3">
      <c r="B60" s="2"/>
      <c r="C60" s="2"/>
    </row>
    <row r="61" spans="1:3" x14ac:dyDescent="0.3">
      <c r="B61" s="2"/>
      <c r="C61" s="2"/>
    </row>
    <row r="62" spans="1:3" x14ac:dyDescent="0.3">
      <c r="B62" s="2"/>
      <c r="C62" s="2"/>
    </row>
    <row r="63" spans="1:3" x14ac:dyDescent="0.3">
      <c r="B63" s="2"/>
      <c r="C63" s="2"/>
    </row>
    <row r="64" spans="1:3" x14ac:dyDescent="0.3">
      <c r="B64" s="2"/>
      <c r="C64" s="2"/>
    </row>
    <row r="65" spans="2:3" x14ac:dyDescent="0.3">
      <c r="B65" s="2"/>
      <c r="C65" s="2"/>
    </row>
    <row r="66" spans="2:3" x14ac:dyDescent="0.3">
      <c r="B66" s="2"/>
      <c r="C66" s="2"/>
    </row>
    <row r="67" spans="2:3" x14ac:dyDescent="0.3">
      <c r="B67" s="2"/>
      <c r="C67" s="2"/>
    </row>
    <row r="68" spans="2:3" x14ac:dyDescent="0.3">
      <c r="B68" s="2"/>
      <c r="C68" s="2"/>
    </row>
    <row r="69" spans="2:3" x14ac:dyDescent="0.3">
      <c r="B69" s="2"/>
      <c r="C69" s="2"/>
    </row>
    <row r="70" spans="2:3" x14ac:dyDescent="0.3">
      <c r="B70" s="2"/>
      <c r="C70" s="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4F04F-F951-9A42-9916-A02CE470AE6E}">
  <sheetPr>
    <tabColor theme="5" tint="0.39997558519241921"/>
  </sheetPr>
  <dimension ref="A1:A48"/>
  <sheetViews>
    <sheetView zoomScale="115" zoomScaleNormal="115" workbookViewId="0"/>
  </sheetViews>
  <sheetFormatPr defaultColWidth="11.19921875" defaultRowHeight="15.6" x14ac:dyDescent="0.3"/>
  <sheetData>
    <row r="1" spans="1:1" x14ac:dyDescent="0.3">
      <c r="A1" s="49" t="s">
        <v>351</v>
      </c>
    </row>
    <row r="4" spans="1:1" hidden="1" x14ac:dyDescent="0.3"/>
    <row r="5" spans="1:1" hidden="1" x14ac:dyDescent="0.3"/>
    <row r="6" spans="1:1" hidden="1" x14ac:dyDescent="0.3"/>
    <row r="7" spans="1:1" hidden="1" x14ac:dyDescent="0.3"/>
    <row r="8" spans="1:1" hidden="1" x14ac:dyDescent="0.3"/>
    <row r="9" spans="1:1" hidden="1" x14ac:dyDescent="0.3"/>
    <row r="10" spans="1:1" hidden="1" x14ac:dyDescent="0.3"/>
    <row r="11" spans="1:1" x14ac:dyDescent="0.3">
      <c r="A11" t="s">
        <v>395</v>
      </c>
    </row>
    <row r="12" spans="1:1" x14ac:dyDescent="0.3">
      <c r="A12" t="s">
        <v>396</v>
      </c>
    </row>
    <row r="13" spans="1:1" x14ac:dyDescent="0.3">
      <c r="A13" t="s">
        <v>137</v>
      </c>
    </row>
    <row r="14" spans="1:1" x14ac:dyDescent="0.3">
      <c r="A14" t="s">
        <v>397</v>
      </c>
    </row>
    <row r="15" spans="1:1" x14ac:dyDescent="0.3">
      <c r="A15" t="s">
        <v>398</v>
      </c>
    </row>
    <row r="16" spans="1:1" x14ac:dyDescent="0.3">
      <c r="A16" t="s">
        <v>399</v>
      </c>
    </row>
    <row r="17" spans="1:1" x14ac:dyDescent="0.3">
      <c r="A17" t="s">
        <v>136</v>
      </c>
    </row>
    <row r="19" spans="1:1" x14ac:dyDescent="0.3">
      <c r="A19" t="s">
        <v>400</v>
      </c>
    </row>
    <row r="22" spans="1:1" x14ac:dyDescent="0.3">
      <c r="A22" t="s">
        <v>138</v>
      </c>
    </row>
    <row r="23" spans="1:1" hidden="1" x14ac:dyDescent="0.3"/>
    <row r="24" spans="1:1" hidden="1" x14ac:dyDescent="0.3"/>
    <row r="25" spans="1:1" hidden="1" x14ac:dyDescent="0.3"/>
    <row r="28" spans="1:1" x14ac:dyDescent="0.3">
      <c r="A28" t="s">
        <v>405</v>
      </c>
    </row>
    <row r="30" spans="1:1" x14ac:dyDescent="0.3">
      <c r="A30" t="s">
        <v>139</v>
      </c>
    </row>
    <row r="31" spans="1:1" hidden="1" x14ac:dyDescent="0.3"/>
    <row r="32" spans="1:1" hidden="1" x14ac:dyDescent="0.3"/>
    <row r="33" spans="1:1" hidden="1" x14ac:dyDescent="0.3"/>
    <row r="34" spans="1:1" hidden="1" x14ac:dyDescent="0.3"/>
    <row r="37" spans="1:1" x14ac:dyDescent="0.3">
      <c r="A37" t="s">
        <v>140</v>
      </c>
    </row>
    <row r="38" spans="1:1" hidden="1" x14ac:dyDescent="0.3"/>
    <row r="39" spans="1:1" hidden="1" x14ac:dyDescent="0.3"/>
    <row r="40" spans="1:1" hidden="1" x14ac:dyDescent="0.3"/>
    <row r="41" spans="1:1" hidden="1" x14ac:dyDescent="0.3"/>
    <row r="42" spans="1:1" hidden="1" x14ac:dyDescent="0.3"/>
    <row r="43" spans="1:1" hidden="1" x14ac:dyDescent="0.3"/>
    <row r="44" spans="1:1" hidden="1" x14ac:dyDescent="0.3"/>
    <row r="45" spans="1:1" hidden="1" x14ac:dyDescent="0.3"/>
    <row r="48" spans="1:1" x14ac:dyDescent="0.3">
      <c r="A48" t="s">
        <v>411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8B74A-655C-C645-8603-AEF3EE94D6DD}">
  <sheetPr>
    <tabColor theme="9" tint="0.59999389629810485"/>
  </sheetPr>
  <dimension ref="A1:I51"/>
  <sheetViews>
    <sheetView zoomScale="115" zoomScaleNormal="115" workbookViewId="0"/>
  </sheetViews>
  <sheetFormatPr defaultColWidth="11.19921875" defaultRowHeight="15.6" x14ac:dyDescent="0.3"/>
  <sheetData>
    <row r="1" spans="1:1" x14ac:dyDescent="0.3">
      <c r="A1" s="49" t="s">
        <v>483</v>
      </c>
    </row>
    <row r="3" spans="1:1" x14ac:dyDescent="0.3">
      <c r="A3" s="49" t="s">
        <v>345</v>
      </c>
    </row>
    <row r="4" spans="1:1" x14ac:dyDescent="0.3">
      <c r="A4" t="s">
        <v>484</v>
      </c>
    </row>
    <row r="6" spans="1:1" x14ac:dyDescent="0.3">
      <c r="A6" s="49" t="s">
        <v>305</v>
      </c>
    </row>
    <row r="7" spans="1:1" x14ac:dyDescent="0.3">
      <c r="A7" t="s">
        <v>394</v>
      </c>
    </row>
    <row r="8" spans="1:1" x14ac:dyDescent="0.3">
      <c r="A8" t="s">
        <v>310</v>
      </c>
    </row>
    <row r="11" spans="1:1" x14ac:dyDescent="0.3">
      <c r="A11" t="s">
        <v>395</v>
      </c>
    </row>
    <row r="12" spans="1:1" x14ac:dyDescent="0.3">
      <c r="A12" t="s">
        <v>396</v>
      </c>
    </row>
    <row r="13" spans="1:1" x14ac:dyDescent="0.3">
      <c r="A13" t="s">
        <v>137</v>
      </c>
    </row>
    <row r="14" spans="1:1" x14ac:dyDescent="0.3">
      <c r="A14" t="s">
        <v>397</v>
      </c>
    </row>
    <row r="15" spans="1:1" x14ac:dyDescent="0.3">
      <c r="A15" t="s">
        <v>398</v>
      </c>
    </row>
    <row r="16" spans="1:1" x14ac:dyDescent="0.3">
      <c r="A16" t="s">
        <v>399</v>
      </c>
    </row>
    <row r="17" spans="1:6" x14ac:dyDescent="0.3">
      <c r="A17" t="s">
        <v>136</v>
      </c>
    </row>
    <row r="19" spans="1:6" x14ac:dyDescent="0.3">
      <c r="A19" t="s">
        <v>400</v>
      </c>
    </row>
    <row r="22" spans="1:6" x14ac:dyDescent="0.3">
      <c r="A22" t="s">
        <v>138</v>
      </c>
    </row>
    <row r="23" spans="1:6" x14ac:dyDescent="0.3">
      <c r="A23" s="24" t="s">
        <v>401</v>
      </c>
      <c r="F23" s="23" t="s">
        <v>141</v>
      </c>
    </row>
    <row r="24" spans="1:6" x14ac:dyDescent="0.3">
      <c r="A24" s="24" t="s">
        <v>402</v>
      </c>
    </row>
    <row r="25" spans="1:6" x14ac:dyDescent="0.3">
      <c r="A25" s="24" t="s">
        <v>403</v>
      </c>
    </row>
    <row r="26" spans="1:6" x14ac:dyDescent="0.3">
      <c r="A26" s="24" t="s">
        <v>404</v>
      </c>
    </row>
    <row r="28" spans="1:6" x14ac:dyDescent="0.3">
      <c r="A28" t="s">
        <v>405</v>
      </c>
    </row>
    <row r="30" spans="1:6" x14ac:dyDescent="0.3">
      <c r="A30" t="s">
        <v>139</v>
      </c>
    </row>
    <row r="31" spans="1:6" x14ac:dyDescent="0.3">
      <c r="A31" s="17" t="s">
        <v>143</v>
      </c>
      <c r="D31" s="23" t="s">
        <v>311</v>
      </c>
    </row>
    <row r="32" spans="1:6" x14ac:dyDescent="0.3">
      <c r="A32" s="17" t="s">
        <v>142</v>
      </c>
    </row>
    <row r="33" spans="1:9" x14ac:dyDescent="0.3">
      <c r="A33" s="17" t="s">
        <v>407</v>
      </c>
    </row>
    <row r="34" spans="1:9" x14ac:dyDescent="0.3">
      <c r="A34" s="17" t="s">
        <v>406</v>
      </c>
    </row>
    <row r="37" spans="1:9" x14ac:dyDescent="0.3">
      <c r="A37" t="s">
        <v>140</v>
      </c>
    </row>
    <row r="39" spans="1:9" x14ac:dyDescent="0.3">
      <c r="A39" s="17" t="s">
        <v>408</v>
      </c>
      <c r="H39" s="23" t="s">
        <v>144</v>
      </c>
    </row>
    <row r="40" spans="1:9" x14ac:dyDescent="0.3">
      <c r="A40" s="17" t="s">
        <v>145</v>
      </c>
      <c r="H40" s="23" t="s">
        <v>144</v>
      </c>
      <c r="I40" s="23" t="s">
        <v>315</v>
      </c>
    </row>
    <row r="41" spans="1:9" x14ac:dyDescent="0.3">
      <c r="A41" s="17" t="s">
        <v>146</v>
      </c>
      <c r="H41" s="23" t="s">
        <v>312</v>
      </c>
    </row>
    <row r="42" spans="1:9" x14ac:dyDescent="0.3">
      <c r="A42" s="17" t="s">
        <v>409</v>
      </c>
      <c r="H42" s="23" t="s">
        <v>312</v>
      </c>
    </row>
    <row r="43" spans="1:9" x14ac:dyDescent="0.3">
      <c r="A43" s="17" t="s">
        <v>147</v>
      </c>
      <c r="H43" s="23" t="s">
        <v>312</v>
      </c>
    </row>
    <row r="44" spans="1:9" x14ac:dyDescent="0.3">
      <c r="A44" s="17" t="s">
        <v>410</v>
      </c>
      <c r="H44" s="23" t="s">
        <v>313</v>
      </c>
    </row>
    <row r="48" spans="1:9" x14ac:dyDescent="0.3">
      <c r="A48" t="s">
        <v>411</v>
      </c>
    </row>
    <row r="49" spans="1:8" x14ac:dyDescent="0.3">
      <c r="H49" s="23" t="s">
        <v>314</v>
      </c>
    </row>
    <row r="50" spans="1:8" x14ac:dyDescent="0.3">
      <c r="A50" s="17" t="s">
        <v>412</v>
      </c>
    </row>
    <row r="51" spans="1:8" x14ac:dyDescent="0.3">
      <c r="A51" s="17" t="s">
        <v>413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6BB78-F6E2-8B41-BBFB-20D5459177BF}">
  <sheetPr>
    <tabColor theme="5" tint="0.39997558519241921"/>
  </sheetPr>
  <dimension ref="A1:F51"/>
  <sheetViews>
    <sheetView zoomScale="115" zoomScaleNormal="115" workbookViewId="0"/>
  </sheetViews>
  <sheetFormatPr defaultColWidth="11.19921875" defaultRowHeight="15.6" x14ac:dyDescent="0.3"/>
  <cols>
    <col min="1" max="1" width="22.69921875" customWidth="1"/>
  </cols>
  <sheetData>
    <row r="1" spans="1:1" x14ac:dyDescent="0.3">
      <c r="A1" s="49" t="s">
        <v>350</v>
      </c>
    </row>
    <row r="4" spans="1:1" hidden="1" x14ac:dyDescent="0.3"/>
    <row r="5" spans="1:1" hidden="1" x14ac:dyDescent="0.3"/>
    <row r="6" spans="1:1" hidden="1" x14ac:dyDescent="0.3"/>
    <row r="7" spans="1:1" hidden="1" x14ac:dyDescent="0.3"/>
    <row r="8" spans="1:1" hidden="1" x14ac:dyDescent="0.3"/>
    <row r="9" spans="1:1" hidden="1" x14ac:dyDescent="0.3"/>
    <row r="10" spans="1:1" x14ac:dyDescent="0.3">
      <c r="A10" t="s">
        <v>414</v>
      </c>
    </row>
    <row r="11" spans="1:1" x14ac:dyDescent="0.3">
      <c r="A11" t="s">
        <v>415</v>
      </c>
    </row>
    <row r="12" spans="1:1" x14ac:dyDescent="0.3">
      <c r="A12" t="s">
        <v>416</v>
      </c>
    </row>
    <row r="13" spans="1:1" x14ac:dyDescent="0.3">
      <c r="A13" t="s">
        <v>417</v>
      </c>
    </row>
    <row r="16" spans="1:1" x14ac:dyDescent="0.3">
      <c r="A16" t="s">
        <v>148</v>
      </c>
    </row>
    <row r="17" spans="1:6" hidden="1" x14ac:dyDescent="0.3"/>
    <row r="18" spans="1:6" hidden="1" x14ac:dyDescent="0.3"/>
    <row r="19" spans="1:6" hidden="1" x14ac:dyDescent="0.3"/>
    <row r="20" spans="1:6" hidden="1" x14ac:dyDescent="0.3"/>
    <row r="21" spans="1:6" hidden="1" x14ac:dyDescent="0.3"/>
    <row r="22" spans="1:6" hidden="1" x14ac:dyDescent="0.3"/>
    <row r="24" spans="1:6" x14ac:dyDescent="0.3">
      <c r="A24" t="s">
        <v>255</v>
      </c>
      <c r="C24" s="30"/>
    </row>
    <row r="25" spans="1:6" x14ac:dyDescent="0.3">
      <c r="F25" s="8"/>
    </row>
    <row r="27" spans="1:6" x14ac:dyDescent="0.3">
      <c r="A27" t="s">
        <v>149</v>
      </c>
    </row>
    <row r="28" spans="1:6" x14ac:dyDescent="0.3">
      <c r="A28" t="s">
        <v>421</v>
      </c>
    </row>
    <row r="29" spans="1:6" x14ac:dyDescent="0.3">
      <c r="A29" t="s">
        <v>420</v>
      </c>
    </row>
    <row r="31" spans="1:6" x14ac:dyDescent="0.3">
      <c r="A31" t="s">
        <v>330</v>
      </c>
    </row>
    <row r="33" spans="1:4" hidden="1" x14ac:dyDescent="0.3"/>
    <row r="34" spans="1:4" x14ac:dyDescent="0.3">
      <c r="A34" t="s">
        <v>257</v>
      </c>
      <c r="B34" s="32">
        <f>F19-F20</f>
        <v>0</v>
      </c>
    </row>
    <row r="35" spans="1:4" x14ac:dyDescent="0.3">
      <c r="D35" s="9"/>
    </row>
    <row r="36" spans="1:4" hidden="1" x14ac:dyDescent="0.3"/>
    <row r="37" spans="1:4" hidden="1" x14ac:dyDescent="0.3"/>
    <row r="38" spans="1:4" hidden="1" x14ac:dyDescent="0.3"/>
    <row r="39" spans="1:4" x14ac:dyDescent="0.3">
      <c r="A39" t="s">
        <v>150</v>
      </c>
    </row>
    <row r="41" spans="1:4" x14ac:dyDescent="0.3">
      <c r="A41" t="s">
        <v>424</v>
      </c>
    </row>
    <row r="42" spans="1:4" hidden="1" x14ac:dyDescent="0.3"/>
    <row r="43" spans="1:4" hidden="1" x14ac:dyDescent="0.3"/>
    <row r="44" spans="1:4" hidden="1" x14ac:dyDescent="0.3"/>
    <row r="45" spans="1:4" hidden="1" x14ac:dyDescent="0.3"/>
    <row r="48" spans="1:4" x14ac:dyDescent="0.3">
      <c r="A48" t="s">
        <v>429</v>
      </c>
    </row>
    <row r="49" spans="1:1" x14ac:dyDescent="0.3">
      <c r="A49" t="s">
        <v>428</v>
      </c>
    </row>
    <row r="51" spans="1:1" x14ac:dyDescent="0.3">
      <c r="A51" t="s">
        <v>427</v>
      </c>
    </row>
  </sheetData>
  <pageMargins left="0.7" right="0.7" top="0.75" bottom="0.75" header="0.3" footer="0.3"/>
  <pageSetup orientation="portrait"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368B5-6232-1A46-83C0-F7D575CC9132}">
  <sheetPr>
    <tabColor theme="9" tint="0.59999389629810485"/>
  </sheetPr>
  <dimension ref="A1:J54"/>
  <sheetViews>
    <sheetView zoomScale="115" zoomScaleNormal="115" workbookViewId="0"/>
  </sheetViews>
  <sheetFormatPr defaultColWidth="11.19921875" defaultRowHeight="15.6" x14ac:dyDescent="0.3"/>
  <cols>
    <col min="1" max="1" width="22.69921875" customWidth="1"/>
  </cols>
  <sheetData>
    <row r="1" spans="1:1" x14ac:dyDescent="0.3">
      <c r="A1" s="49" t="s">
        <v>485</v>
      </c>
    </row>
    <row r="3" spans="1:1" x14ac:dyDescent="0.3">
      <c r="A3" s="49" t="s">
        <v>345</v>
      </c>
    </row>
    <row r="4" spans="1:1" x14ac:dyDescent="0.3">
      <c r="A4" t="s">
        <v>476</v>
      </c>
    </row>
    <row r="6" spans="1:1" x14ac:dyDescent="0.3">
      <c r="A6" s="49" t="s">
        <v>305</v>
      </c>
    </row>
    <row r="7" spans="1:1" x14ac:dyDescent="0.3">
      <c r="A7" t="s">
        <v>316</v>
      </c>
    </row>
    <row r="8" spans="1:1" x14ac:dyDescent="0.3">
      <c r="A8" t="s">
        <v>317</v>
      </c>
    </row>
    <row r="10" spans="1:1" x14ac:dyDescent="0.3">
      <c r="A10" t="s">
        <v>414</v>
      </c>
    </row>
    <row r="11" spans="1:1" x14ac:dyDescent="0.3">
      <c r="A11" t="s">
        <v>415</v>
      </c>
    </row>
    <row r="12" spans="1:1" x14ac:dyDescent="0.3">
      <c r="A12" t="s">
        <v>416</v>
      </c>
    </row>
    <row r="13" spans="1:1" x14ac:dyDescent="0.3">
      <c r="A13" t="s">
        <v>417</v>
      </c>
    </row>
    <row r="16" spans="1:1" x14ac:dyDescent="0.3">
      <c r="A16" t="s">
        <v>148</v>
      </c>
    </row>
    <row r="18" spans="1:10" x14ac:dyDescent="0.3">
      <c r="A18" s="17" t="s">
        <v>151</v>
      </c>
      <c r="F18" s="18">
        <f>100/0.95</f>
        <v>105.26315789473685</v>
      </c>
      <c r="G18" s="17" t="s">
        <v>152</v>
      </c>
      <c r="I18" s="23" t="s">
        <v>256</v>
      </c>
    </row>
    <row r="19" spans="1:10" x14ac:dyDescent="0.3">
      <c r="A19" s="17" t="s">
        <v>418</v>
      </c>
      <c r="F19" s="31">
        <f>15*F18</f>
        <v>1578.9473684210527</v>
      </c>
      <c r="G19" s="17" t="s">
        <v>152</v>
      </c>
    </row>
    <row r="20" spans="1:10" x14ac:dyDescent="0.3">
      <c r="A20" s="17" t="s">
        <v>419</v>
      </c>
      <c r="F20" s="17">
        <f>100*40%*5</f>
        <v>200</v>
      </c>
      <c r="G20" s="17" t="s">
        <v>152</v>
      </c>
    </row>
    <row r="21" spans="1:10" x14ac:dyDescent="0.3">
      <c r="A21" s="17"/>
    </row>
    <row r="22" spans="1:10" x14ac:dyDescent="0.3">
      <c r="A22" s="17" t="s">
        <v>153</v>
      </c>
      <c r="F22" s="9">
        <f>F18+F19*0.01</f>
        <v>121.05263157894737</v>
      </c>
    </row>
    <row r="23" spans="1:10" x14ac:dyDescent="0.3">
      <c r="A23" s="17" t="s">
        <v>154</v>
      </c>
      <c r="F23" s="9">
        <f>100+0.01*F20</f>
        <v>102</v>
      </c>
    </row>
    <row r="24" spans="1:10" x14ac:dyDescent="0.3">
      <c r="A24" t="s">
        <v>255</v>
      </c>
      <c r="F24" s="30">
        <f>F23/F22</f>
        <v>0.84260869565217389</v>
      </c>
    </row>
    <row r="25" spans="1:10" x14ac:dyDescent="0.3">
      <c r="F25" s="8"/>
    </row>
    <row r="27" spans="1:10" x14ac:dyDescent="0.3">
      <c r="A27" t="s">
        <v>149</v>
      </c>
    </row>
    <row r="28" spans="1:10" x14ac:dyDescent="0.3">
      <c r="A28" t="s">
        <v>421</v>
      </c>
    </row>
    <row r="29" spans="1:10" x14ac:dyDescent="0.3">
      <c r="A29" t="s">
        <v>420</v>
      </c>
    </row>
    <row r="31" spans="1:10" x14ac:dyDescent="0.3">
      <c r="A31" t="s">
        <v>330</v>
      </c>
    </row>
    <row r="32" spans="1:10" x14ac:dyDescent="0.3">
      <c r="A32" s="17" t="s">
        <v>260</v>
      </c>
      <c r="J32" s="23" t="s">
        <v>319</v>
      </c>
    </row>
    <row r="33" spans="1:10" x14ac:dyDescent="0.3">
      <c r="A33" s="17" t="s">
        <v>258</v>
      </c>
    </row>
    <row r="34" spans="1:10" x14ac:dyDescent="0.3">
      <c r="A34" t="s">
        <v>257</v>
      </c>
      <c r="B34" s="32">
        <f>F19-F20</f>
        <v>1378.9473684210527</v>
      </c>
    </row>
    <row r="35" spans="1:10" x14ac:dyDescent="0.3">
      <c r="D35" s="9"/>
    </row>
    <row r="37" spans="1:10" x14ac:dyDescent="0.3">
      <c r="A37" s="17" t="s">
        <v>422</v>
      </c>
      <c r="J37" s="23" t="s">
        <v>259</v>
      </c>
    </row>
    <row r="39" spans="1:10" x14ac:dyDescent="0.3">
      <c r="A39" t="s">
        <v>423</v>
      </c>
    </row>
    <row r="41" spans="1:10" x14ac:dyDescent="0.3">
      <c r="A41" t="s">
        <v>424</v>
      </c>
    </row>
    <row r="42" spans="1:10" x14ac:dyDescent="0.3">
      <c r="A42" s="17" t="s">
        <v>425</v>
      </c>
      <c r="J42" s="23" t="s">
        <v>319</v>
      </c>
    </row>
    <row r="43" spans="1:10" x14ac:dyDescent="0.3">
      <c r="A43" s="17" t="s">
        <v>426</v>
      </c>
    </row>
    <row r="44" spans="1:10" x14ac:dyDescent="0.3">
      <c r="A44" s="17" t="s">
        <v>155</v>
      </c>
    </row>
    <row r="45" spans="1:10" x14ac:dyDescent="0.3">
      <c r="A45" s="17" t="s">
        <v>156</v>
      </c>
    </row>
    <row r="48" spans="1:10" x14ac:dyDescent="0.3">
      <c r="A48" t="s">
        <v>429</v>
      </c>
    </row>
    <row r="49" spans="1:10" x14ac:dyDescent="0.3">
      <c r="A49" t="s">
        <v>428</v>
      </c>
    </row>
    <row r="51" spans="1:10" x14ac:dyDescent="0.3">
      <c r="A51" t="s">
        <v>427</v>
      </c>
    </row>
    <row r="53" spans="1:10" x14ac:dyDescent="0.3">
      <c r="A53" s="17" t="s">
        <v>157</v>
      </c>
      <c r="J53" s="23" t="s">
        <v>318</v>
      </c>
    </row>
    <row r="54" spans="1:10" x14ac:dyDescent="0.3">
      <c r="A54" s="17" t="s">
        <v>158</v>
      </c>
    </row>
  </sheetData>
  <pageMargins left="0.7" right="0.7" top="0.75" bottom="0.75" header="0.3" footer="0.3"/>
  <pageSetup orientation="portrait"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C9474-4183-4646-9412-99036BF313E6}">
  <sheetPr>
    <tabColor theme="5" tint="0.39997558519241921"/>
  </sheetPr>
  <dimension ref="A1:U54"/>
  <sheetViews>
    <sheetView zoomScaleNormal="100" workbookViewId="0"/>
  </sheetViews>
  <sheetFormatPr defaultColWidth="11.19921875" defaultRowHeight="15.6" x14ac:dyDescent="0.3"/>
  <cols>
    <col min="1" max="1" width="74.19921875" customWidth="1"/>
    <col min="2" max="2" width="12.296875" bestFit="1" customWidth="1"/>
    <col min="3" max="14" width="11" bestFit="1" customWidth="1"/>
    <col min="15" max="16" width="11.19921875" bestFit="1" customWidth="1"/>
    <col min="17" max="21" width="11" bestFit="1" customWidth="1"/>
  </cols>
  <sheetData>
    <row r="1" spans="1:1" x14ac:dyDescent="0.3">
      <c r="A1" s="49" t="s">
        <v>349</v>
      </c>
    </row>
    <row r="4" spans="1:1" hidden="1" x14ac:dyDescent="0.3"/>
    <row r="5" spans="1:1" hidden="1" x14ac:dyDescent="0.3"/>
    <row r="6" spans="1:1" hidden="1" x14ac:dyDescent="0.3"/>
    <row r="7" spans="1:1" hidden="1" x14ac:dyDescent="0.3"/>
    <row r="8" spans="1:1" hidden="1" x14ac:dyDescent="0.3"/>
    <row r="9" spans="1:1" x14ac:dyDescent="0.3">
      <c r="A9" t="s">
        <v>160</v>
      </c>
    </row>
    <row r="10" spans="1:1" x14ac:dyDescent="0.3">
      <c r="A10" s="57" t="s">
        <v>489</v>
      </c>
    </row>
    <row r="11" spans="1:1" x14ac:dyDescent="0.3">
      <c r="A11" s="57" t="s">
        <v>488</v>
      </c>
    </row>
    <row r="13" spans="1:1" x14ac:dyDescent="0.3">
      <c r="A13" t="s">
        <v>159</v>
      </c>
    </row>
    <row r="14" spans="1:1" hidden="1" x14ac:dyDescent="0.3"/>
    <row r="15" spans="1:1" hidden="1" x14ac:dyDescent="0.3"/>
    <row r="18" spans="1:1" x14ac:dyDescent="0.3">
      <c r="A18" t="s">
        <v>432</v>
      </c>
    </row>
    <row r="20" spans="1:1" x14ac:dyDescent="0.3">
      <c r="A20" t="s">
        <v>433</v>
      </c>
    </row>
    <row r="21" spans="1:1" hidden="1" x14ac:dyDescent="0.3"/>
    <row r="22" spans="1:1" hidden="1" x14ac:dyDescent="0.3"/>
    <row r="23" spans="1:1" hidden="1" x14ac:dyDescent="0.3"/>
    <row r="24" spans="1:1" hidden="1" x14ac:dyDescent="0.3"/>
    <row r="25" spans="1:1" hidden="1" x14ac:dyDescent="0.3"/>
    <row r="26" spans="1:1" hidden="1" x14ac:dyDescent="0.3"/>
    <row r="27" spans="1:1" hidden="1" x14ac:dyDescent="0.3"/>
    <row r="28" spans="1:1" hidden="1" x14ac:dyDescent="0.3"/>
    <row r="31" spans="1:1" x14ac:dyDescent="0.3">
      <c r="A31" t="s">
        <v>441</v>
      </c>
    </row>
    <row r="33" spans="1:21" x14ac:dyDescent="0.3">
      <c r="A33" t="s">
        <v>164</v>
      </c>
      <c r="B33">
        <v>1</v>
      </c>
      <c r="C33">
        <v>2</v>
      </c>
      <c r="D33">
        <v>3</v>
      </c>
      <c r="E33">
        <v>4</v>
      </c>
      <c r="F33">
        <v>5</v>
      </c>
      <c r="G33">
        <v>6</v>
      </c>
      <c r="H33">
        <v>7</v>
      </c>
      <c r="I33">
        <v>8</v>
      </c>
      <c r="J33">
        <v>9</v>
      </c>
      <c r="K33">
        <v>10</v>
      </c>
      <c r="L33">
        <v>11</v>
      </c>
      <c r="M33">
        <v>12</v>
      </c>
      <c r="N33">
        <v>13</v>
      </c>
      <c r="O33">
        <v>14</v>
      </c>
      <c r="P33">
        <v>15</v>
      </c>
      <c r="Q33">
        <v>16</v>
      </c>
      <c r="R33">
        <v>17</v>
      </c>
      <c r="S33">
        <v>18</v>
      </c>
      <c r="T33">
        <v>19</v>
      </c>
      <c r="U33">
        <v>20</v>
      </c>
    </row>
    <row r="34" spans="1:21" x14ac:dyDescent="0.3">
      <c r="A34" t="s">
        <v>161</v>
      </c>
      <c r="B34" s="13">
        <v>613.13240195240394</v>
      </c>
      <c r="C34" s="13">
        <v>781.02855737993139</v>
      </c>
      <c r="D34" s="13">
        <v>874.42408721093477</v>
      </c>
      <c r="E34" s="13">
        <v>902.2352215774182</v>
      </c>
      <c r="F34" s="13">
        <v>879.93081951034242</v>
      </c>
      <c r="G34" s="13">
        <v>823.50757004801824</v>
      </c>
      <c r="H34" s="13">
        <v>746.80602551795926</v>
      </c>
      <c r="I34" s="13">
        <v>660.62950643060003</v>
      </c>
      <c r="J34" s="13">
        <v>572.76768851618431</v>
      </c>
      <c r="K34" s="13">
        <v>488.41703703291154</v>
      </c>
      <c r="L34" s="13">
        <v>410.72410306352282</v>
      </c>
      <c r="M34" s="13">
        <v>341.31449260982612</v>
      </c>
      <c r="N34" s="13">
        <v>280.74779162856117</v>
      </c>
      <c r="O34" s="13">
        <v>228.88059230015722</v>
      </c>
      <c r="P34" s="13">
        <v>185.14075004413249</v>
      </c>
      <c r="Q34" s="13">
        <v>148.7251305999815</v>
      </c>
      <c r="R34" s="13">
        <v>118.73581111298347</v>
      </c>
      <c r="S34" s="13">
        <v>94.269170469615446</v>
      </c>
      <c r="T34" s="13">
        <v>74.470360520285524</v>
      </c>
      <c r="U34" s="13">
        <v>25</v>
      </c>
    </row>
    <row r="35" spans="1:21" x14ac:dyDescent="0.3">
      <c r="A35" t="s">
        <v>67</v>
      </c>
      <c r="B35" s="13">
        <v>2.3690625000000052E-2</v>
      </c>
      <c r="C35" s="13">
        <v>0.68040000000000056</v>
      </c>
      <c r="D35" s="13">
        <v>4.6086468749999989</v>
      </c>
      <c r="E35" s="13">
        <v>17.203199999999995</v>
      </c>
      <c r="F35" s="13">
        <v>46.142578125000028</v>
      </c>
      <c r="G35" s="13">
        <v>100.01879999999997</v>
      </c>
      <c r="H35" s="13">
        <v>186.40013437500005</v>
      </c>
      <c r="I35" s="13">
        <v>309.6576</v>
      </c>
      <c r="J35" s="13">
        <v>468.8859656249997</v>
      </c>
      <c r="K35" s="13">
        <v>656.25000000000023</v>
      </c>
      <c r="L35" s="13">
        <v>856.08672187500042</v>
      </c>
      <c r="M35" s="13">
        <v>1045.0943999999997</v>
      </c>
      <c r="N35" s="13">
        <v>1193.9390531250001</v>
      </c>
      <c r="O35" s="13">
        <v>1270.6092000000001</v>
      </c>
      <c r="P35" s="13">
        <v>1245.849609375</v>
      </c>
      <c r="Q35" s="13">
        <v>1101.0047999999999</v>
      </c>
      <c r="R35" s="13">
        <v>838.60304062500006</v>
      </c>
      <c r="S35" s="13">
        <v>496.01159999999993</v>
      </c>
      <c r="T35" s="13">
        <v>162.49399687500028</v>
      </c>
      <c r="U35" s="13">
        <v>30</v>
      </c>
    </row>
    <row r="36" spans="1:21" x14ac:dyDescent="0.3">
      <c r="A36" t="s">
        <v>162</v>
      </c>
      <c r="B36" s="13">
        <v>661.77446779257923</v>
      </c>
      <c r="C36" s="13">
        <v>250.45967392678864</v>
      </c>
      <c r="D36" s="13">
        <v>130.83731445425241</v>
      </c>
      <c r="E36" s="13">
        <v>78.333822101089027</v>
      </c>
      <c r="F36" s="13">
        <v>56.315821206212178</v>
      </c>
      <c r="G36" s="13">
        <v>46.258108865916419</v>
      </c>
      <c r="H36" s="13">
        <v>40.56630051252251</v>
      </c>
      <c r="I36" s="13">
        <v>36.571284342124301</v>
      </c>
      <c r="J36" s="13">
        <v>33.468614378513145</v>
      </c>
      <c r="K36" s="13">
        <v>31.027700049997772</v>
      </c>
      <c r="L36" s="13">
        <v>29.110791954079563</v>
      </c>
      <c r="M36" s="13">
        <v>27.520862847935028</v>
      </c>
      <c r="N36" s="13">
        <v>25.978049277656787</v>
      </c>
      <c r="O36" s="13">
        <v>24.150502256579347</v>
      </c>
      <c r="P36" s="13">
        <v>21.71564686592674</v>
      </c>
      <c r="Q36" s="13">
        <v>18.446338003616191</v>
      </c>
      <c r="R36" s="13">
        <v>14.322830793076436</v>
      </c>
      <c r="S36" s="13">
        <v>9.6735773949158848</v>
      </c>
      <c r="T36" s="13">
        <v>5.3484588292488207</v>
      </c>
      <c r="U36" s="13">
        <v>1.5500001030576811</v>
      </c>
    </row>
    <row r="37" spans="1:21" x14ac:dyDescent="0.3">
      <c r="A37" t="s">
        <v>163</v>
      </c>
      <c r="B37" s="13">
        <v>-48.665756465175264</v>
      </c>
      <c r="C37" s="13">
        <v>529.88848345314273</v>
      </c>
      <c r="D37" s="13">
        <v>738.97812588168244</v>
      </c>
      <c r="E37" s="13">
        <v>806.69819947632914</v>
      </c>
      <c r="F37" s="13">
        <v>777.47242017913027</v>
      </c>
      <c r="G37" s="13">
        <v>677.23066118210193</v>
      </c>
      <c r="H37" s="13">
        <v>519.83959063043676</v>
      </c>
      <c r="I37" s="13">
        <v>314.40062208847576</v>
      </c>
      <c r="J37" s="13">
        <v>70.413108512671471</v>
      </c>
      <c r="K37" s="13">
        <v>-198.86066301708647</v>
      </c>
      <c r="L37" s="13">
        <v>-474.47341076555716</v>
      </c>
      <c r="M37" s="13">
        <v>-731.30077023810861</v>
      </c>
      <c r="N37" s="13">
        <v>-939.16931077409572</v>
      </c>
      <c r="O37" s="13">
        <v>-1065.8791099564223</v>
      </c>
      <c r="P37" s="13">
        <v>-1082.4245061967943</v>
      </c>
      <c r="Q37" s="13">
        <v>-970.72600740363464</v>
      </c>
      <c r="R37" s="13">
        <v>-734.19006030509308</v>
      </c>
      <c r="S37" s="13">
        <v>-411.41600692530034</v>
      </c>
      <c r="T37" s="13">
        <v>-93.37209518396358</v>
      </c>
      <c r="U37" s="13">
        <v>-6.5500001030576813</v>
      </c>
    </row>
    <row r="38" spans="1:21" x14ac:dyDescent="0.3">
      <c r="A38" t="s">
        <v>165</v>
      </c>
      <c r="B38" s="13">
        <v>146.20457034354581</v>
      </c>
      <c r="C38" s="13">
        <v>681.94123661043056</v>
      </c>
      <c r="D38" s="13">
        <v>1448.1970119565306</v>
      </c>
      <c r="E38" s="13">
        <v>2312.8230919111211</v>
      </c>
      <c r="F38" s="13">
        <v>3182.8084357666962</v>
      </c>
      <c r="G38" s="13">
        <v>3987.3514343794654</v>
      </c>
      <c r="H38" s="13">
        <v>4666.6850823850828</v>
      </c>
      <c r="I38" s="13">
        <v>5167.7531077689619</v>
      </c>
      <c r="J38" s="13">
        <v>5444.876340592391</v>
      </c>
      <c r="K38" s="13">
        <v>5463.8107311989997</v>
      </c>
      <c r="L38" s="13">
        <v>5207.8897496814043</v>
      </c>
      <c r="M38" s="13">
        <v>4684.9045694305523</v>
      </c>
      <c r="N38" s="13">
        <v>3933.1314414336789</v>
      </c>
      <c r="O38" s="13">
        <v>3024.5775891346038</v>
      </c>
      <c r="P38" s="13">
        <v>2063.1361865031936</v>
      </c>
      <c r="Q38" s="13">
        <v>1174.9356265596866</v>
      </c>
      <c r="R38" s="13">
        <v>487.74299131698103</v>
      </c>
      <c r="S38" s="13">
        <v>95.836704044360019</v>
      </c>
      <c r="T38" s="13">
        <v>6.2980770221708475</v>
      </c>
      <c r="U38" s="13">
        <v>0</v>
      </c>
    </row>
    <row r="39" spans="1:21" x14ac:dyDescent="0.3">
      <c r="A39" t="s">
        <v>166</v>
      </c>
      <c r="B39" s="13">
        <f>$B$40*(B37)</f>
        <v>-2.3116234320958249</v>
      </c>
      <c r="C39" s="13">
        <f>$B$40*(B38+C37)</f>
        <v>32.114420055342705</v>
      </c>
      <c r="D39" s="13">
        <f>$B$40*(C38+D37)</f>
        <v>67.493669718375372</v>
      </c>
      <c r="E39" s="13">
        <f t="shared" ref="E39:U39" si="0">$B$40*(D38+E37)</f>
        <v>107.10752254306082</v>
      </c>
      <c r="F39" s="13">
        <f t="shared" si="0"/>
        <v>146.78903682428694</v>
      </c>
      <c r="G39" s="13">
        <f t="shared" si="0"/>
        <v>183.35185710506792</v>
      </c>
      <c r="H39" s="13">
        <f t="shared" si="0"/>
        <v>214.09157368797037</v>
      </c>
      <c r="I39" s="13">
        <f t="shared" si="0"/>
        <v>236.60157096249404</v>
      </c>
      <c r="J39" s="13">
        <f t="shared" si="0"/>
        <v>248.81289527337762</v>
      </c>
      <c r="K39" s="13">
        <f t="shared" si="0"/>
        <v>249.18574468482697</v>
      </c>
      <c r="L39" s="13">
        <f t="shared" si="0"/>
        <v>236.99352272058854</v>
      </c>
      <c r="M39" s="13">
        <f t="shared" si="0"/>
        <v>212.63797652355657</v>
      </c>
      <c r="N39" s="13">
        <f t="shared" si="0"/>
        <v>177.92242478618169</v>
      </c>
      <c r="O39" s="13">
        <f t="shared" si="0"/>
        <v>136.19448574516969</v>
      </c>
      <c r="P39" s="13">
        <f t="shared" si="0"/>
        <v>92.25227143954595</v>
      </c>
      <c r="Q39" s="13">
        <f t="shared" si="0"/>
        <v>51.889483507229052</v>
      </c>
      <c r="R39" s="13">
        <f t="shared" si="0"/>
        <v>20.935414397093194</v>
      </c>
      <c r="S39" s="13">
        <f t="shared" si="0"/>
        <v>3.6255317586048332</v>
      </c>
      <c r="T39" s="13">
        <f t="shared" si="0"/>
        <v>0.11706892086883083</v>
      </c>
      <c r="U39" s="13">
        <f t="shared" si="0"/>
        <v>-1.1966346342124606E-2</v>
      </c>
    </row>
    <row r="40" spans="1:21" x14ac:dyDescent="0.3">
      <c r="A40" t="s">
        <v>248</v>
      </c>
      <c r="B40" s="12">
        <v>4.7500000000000001E-2</v>
      </c>
      <c r="C40" s="13"/>
      <c r="D40" s="13"/>
      <c r="E40" s="13"/>
      <c r="F40" s="13"/>
      <c r="G40" s="13"/>
      <c r="H40" s="13"/>
      <c r="I40" s="13"/>
      <c r="J40" s="13"/>
      <c r="K40" s="13"/>
      <c r="L40" s="13"/>
      <c r="M40" s="13"/>
      <c r="N40" s="13"/>
      <c r="O40" s="13"/>
      <c r="P40" s="13"/>
      <c r="Q40" s="13"/>
      <c r="R40" s="13"/>
      <c r="S40" s="13"/>
      <c r="T40" s="13"/>
      <c r="U40" s="13"/>
    </row>
    <row r="41" spans="1:21" x14ac:dyDescent="0.3">
      <c r="A41" t="s">
        <v>167</v>
      </c>
      <c r="B41" s="27"/>
      <c r="C41" s="27"/>
      <c r="D41" s="27"/>
      <c r="E41" s="27"/>
      <c r="F41" s="27"/>
      <c r="G41" s="27"/>
      <c r="H41" s="27"/>
      <c r="I41" s="27"/>
      <c r="J41" s="27"/>
      <c r="K41" s="27"/>
      <c r="L41" s="27"/>
      <c r="M41" s="27"/>
      <c r="N41" s="27"/>
      <c r="O41" s="27"/>
      <c r="P41" s="27"/>
      <c r="Q41" s="27"/>
      <c r="R41" s="27"/>
      <c r="S41" s="27"/>
      <c r="T41" s="27"/>
      <c r="U41" s="27"/>
    </row>
    <row r="44" spans="1:21" x14ac:dyDescent="0.3">
      <c r="A44" t="s">
        <v>168</v>
      </c>
    </row>
    <row r="45" spans="1:21" x14ac:dyDescent="0.3">
      <c r="A45" t="s">
        <v>442</v>
      </c>
    </row>
    <row r="46" spans="1:21" x14ac:dyDescent="0.3">
      <c r="A46" t="s">
        <v>444</v>
      </c>
      <c r="B46" s="55">
        <v>0.06</v>
      </c>
      <c r="C46" t="s">
        <v>329</v>
      </c>
      <c r="D46" s="29"/>
    </row>
    <row r="47" spans="1:21" x14ac:dyDescent="0.3">
      <c r="A47" t="s">
        <v>445</v>
      </c>
    </row>
    <row r="48" spans="1:21" x14ac:dyDescent="0.3">
      <c r="A48" t="s">
        <v>247</v>
      </c>
      <c r="B48" s="28"/>
      <c r="C48" s="29"/>
      <c r="D48" s="29"/>
      <c r="E48" s="29"/>
      <c r="F48" s="29"/>
      <c r="G48" s="29"/>
      <c r="H48" s="29"/>
      <c r="I48" s="29"/>
      <c r="J48" s="29"/>
      <c r="K48" s="29"/>
      <c r="L48" s="29"/>
      <c r="M48" s="29"/>
      <c r="N48" s="29"/>
      <c r="O48" s="29"/>
      <c r="P48" s="29"/>
      <c r="Q48" s="29"/>
      <c r="R48" s="29"/>
      <c r="S48" s="29"/>
      <c r="T48" s="29"/>
      <c r="U48" s="29"/>
    </row>
    <row r="51" spans="1:1" x14ac:dyDescent="0.3">
      <c r="A51" t="s">
        <v>446</v>
      </c>
    </row>
    <row r="52" spans="1:1" x14ac:dyDescent="0.3">
      <c r="A52" t="s">
        <v>447</v>
      </c>
    </row>
    <row r="54" spans="1:1" x14ac:dyDescent="0.3">
      <c r="A54" t="s">
        <v>169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F3A70-FB6F-9142-9635-FA5BF5EFB87C}">
  <sheetPr>
    <tabColor theme="9" tint="0.59999389629810485"/>
  </sheetPr>
  <dimension ref="A1:U58"/>
  <sheetViews>
    <sheetView zoomScale="115" zoomScaleNormal="115" workbookViewId="0"/>
  </sheetViews>
  <sheetFormatPr defaultColWidth="11.19921875" defaultRowHeight="15.6" x14ac:dyDescent="0.3"/>
  <cols>
    <col min="1" max="1" width="74.19921875" customWidth="1"/>
    <col min="2" max="2" width="12.296875" bestFit="1" customWidth="1"/>
    <col min="3" max="14" width="11" bestFit="1" customWidth="1"/>
    <col min="15" max="16" width="11.19921875" bestFit="1" customWidth="1"/>
    <col min="17" max="21" width="11" bestFit="1" customWidth="1"/>
  </cols>
  <sheetData>
    <row r="1" spans="1:1" x14ac:dyDescent="0.3">
      <c r="A1" s="49" t="s">
        <v>486</v>
      </c>
    </row>
    <row r="3" spans="1:1" x14ac:dyDescent="0.3">
      <c r="A3" s="49" t="s">
        <v>345</v>
      </c>
    </row>
    <row r="4" spans="1:1" x14ac:dyDescent="0.3">
      <c r="A4" t="s">
        <v>487</v>
      </c>
    </row>
    <row r="6" spans="1:1" x14ac:dyDescent="0.3">
      <c r="A6" s="49" t="s">
        <v>305</v>
      </c>
    </row>
    <row r="7" spans="1:1" x14ac:dyDescent="0.3">
      <c r="A7" t="s">
        <v>320</v>
      </c>
    </row>
    <row r="9" spans="1:1" x14ac:dyDescent="0.3">
      <c r="A9" t="s">
        <v>160</v>
      </c>
    </row>
    <row r="10" spans="1:1" x14ac:dyDescent="0.3">
      <c r="A10" s="57" t="s">
        <v>489</v>
      </c>
    </row>
    <row r="11" spans="1:1" x14ac:dyDescent="0.3">
      <c r="A11" s="57" t="s">
        <v>488</v>
      </c>
    </row>
    <row r="13" spans="1:1" x14ac:dyDescent="0.3">
      <c r="A13" t="s">
        <v>159</v>
      </c>
    </row>
    <row r="14" spans="1:1" x14ac:dyDescent="0.3">
      <c r="A14" s="26" t="s">
        <v>253</v>
      </c>
    </row>
    <row r="15" spans="1:1" x14ac:dyDescent="0.3">
      <c r="A15" s="17" t="s">
        <v>430</v>
      </c>
    </row>
    <row r="16" spans="1:1" x14ac:dyDescent="0.3">
      <c r="A16" s="17" t="s">
        <v>431</v>
      </c>
    </row>
    <row r="18" spans="1:1" x14ac:dyDescent="0.3">
      <c r="A18" t="s">
        <v>432</v>
      </c>
    </row>
    <row r="20" spans="1:1" x14ac:dyDescent="0.3">
      <c r="A20" t="s">
        <v>433</v>
      </c>
    </row>
    <row r="21" spans="1:1" x14ac:dyDescent="0.3">
      <c r="A21" s="26" t="s">
        <v>252</v>
      </c>
    </row>
    <row r="22" spans="1:1" x14ac:dyDescent="0.3">
      <c r="A22" s="17" t="s">
        <v>245</v>
      </c>
    </row>
    <row r="23" spans="1:1" x14ac:dyDescent="0.3">
      <c r="A23" s="17" t="s">
        <v>434</v>
      </c>
    </row>
    <row r="24" spans="1:1" x14ac:dyDescent="0.3">
      <c r="A24" s="17" t="s">
        <v>435</v>
      </c>
    </row>
    <row r="25" spans="1:1" x14ac:dyDescent="0.3">
      <c r="A25" s="17" t="s">
        <v>440</v>
      </c>
    </row>
    <row r="26" spans="1:1" x14ac:dyDescent="0.3">
      <c r="A26" s="17" t="s">
        <v>436</v>
      </c>
    </row>
    <row r="27" spans="1:1" x14ac:dyDescent="0.3">
      <c r="A27" s="17" t="s">
        <v>437</v>
      </c>
    </row>
    <row r="28" spans="1:1" x14ac:dyDescent="0.3">
      <c r="A28" s="17" t="s">
        <v>438</v>
      </c>
    </row>
    <row r="29" spans="1:1" x14ac:dyDescent="0.3">
      <c r="A29" s="17" t="s">
        <v>439</v>
      </c>
    </row>
    <row r="31" spans="1:1" x14ac:dyDescent="0.3">
      <c r="A31" t="s">
        <v>441</v>
      </c>
    </row>
    <row r="33" spans="1:21" x14ac:dyDescent="0.3">
      <c r="A33" t="s">
        <v>164</v>
      </c>
      <c r="B33">
        <v>1</v>
      </c>
      <c r="C33">
        <v>2</v>
      </c>
      <c r="D33">
        <v>3</v>
      </c>
      <c r="E33">
        <v>4</v>
      </c>
      <c r="F33">
        <v>5</v>
      </c>
      <c r="G33">
        <v>6</v>
      </c>
      <c r="H33">
        <v>7</v>
      </c>
      <c r="I33">
        <v>8</v>
      </c>
      <c r="J33">
        <v>9</v>
      </c>
      <c r="K33">
        <v>10</v>
      </c>
      <c r="L33">
        <v>11</v>
      </c>
      <c r="M33">
        <v>12</v>
      </c>
      <c r="N33">
        <v>13</v>
      </c>
      <c r="O33">
        <v>14</v>
      </c>
      <c r="P33">
        <v>15</v>
      </c>
      <c r="Q33">
        <v>16</v>
      </c>
      <c r="R33">
        <v>17</v>
      </c>
      <c r="S33">
        <v>18</v>
      </c>
      <c r="T33">
        <v>19</v>
      </c>
      <c r="U33">
        <v>20</v>
      </c>
    </row>
    <row r="34" spans="1:21" x14ac:dyDescent="0.3">
      <c r="A34" t="s">
        <v>161</v>
      </c>
      <c r="B34" s="13">
        <v>613.13240195240394</v>
      </c>
      <c r="C34" s="13">
        <v>781.02855737993139</v>
      </c>
      <c r="D34" s="13">
        <v>874.42408721093477</v>
      </c>
      <c r="E34" s="13">
        <v>902.2352215774182</v>
      </c>
      <c r="F34" s="13">
        <v>879.93081951034242</v>
      </c>
      <c r="G34" s="13">
        <v>823.50757004801824</v>
      </c>
      <c r="H34" s="13">
        <v>746.80602551795926</v>
      </c>
      <c r="I34" s="13">
        <v>660.62950643060003</v>
      </c>
      <c r="J34" s="13">
        <v>572.76768851618431</v>
      </c>
      <c r="K34" s="13">
        <v>488.41703703291154</v>
      </c>
      <c r="L34" s="13">
        <v>410.72410306352282</v>
      </c>
      <c r="M34" s="13">
        <v>341.31449260982612</v>
      </c>
      <c r="N34" s="13">
        <v>280.74779162856117</v>
      </c>
      <c r="O34" s="13">
        <v>228.88059230015722</v>
      </c>
      <c r="P34" s="13">
        <v>185.14075004413249</v>
      </c>
      <c r="Q34" s="13">
        <v>148.7251305999815</v>
      </c>
      <c r="R34" s="13">
        <v>118.73581111298347</v>
      </c>
      <c r="S34" s="13">
        <v>94.269170469615446</v>
      </c>
      <c r="T34" s="13">
        <v>74.470360520285524</v>
      </c>
      <c r="U34" s="13">
        <v>25</v>
      </c>
    </row>
    <row r="35" spans="1:21" x14ac:dyDescent="0.3">
      <c r="A35" t="s">
        <v>67</v>
      </c>
      <c r="B35" s="13">
        <v>2.3690625000000052E-2</v>
      </c>
      <c r="C35" s="13">
        <v>0.68040000000000056</v>
      </c>
      <c r="D35" s="13">
        <v>4.6086468749999989</v>
      </c>
      <c r="E35" s="13">
        <v>17.203199999999995</v>
      </c>
      <c r="F35" s="13">
        <v>46.142578125000028</v>
      </c>
      <c r="G35" s="13">
        <v>100.01879999999997</v>
      </c>
      <c r="H35" s="13">
        <v>186.40013437500005</v>
      </c>
      <c r="I35" s="13">
        <v>309.6576</v>
      </c>
      <c r="J35" s="13">
        <v>468.8859656249997</v>
      </c>
      <c r="K35" s="13">
        <v>656.25000000000023</v>
      </c>
      <c r="L35" s="13">
        <v>856.08672187500042</v>
      </c>
      <c r="M35" s="13">
        <v>1045.0943999999997</v>
      </c>
      <c r="N35" s="13">
        <v>1193.9390531250001</v>
      </c>
      <c r="O35" s="13">
        <v>1270.6092000000001</v>
      </c>
      <c r="P35" s="13">
        <v>1245.849609375</v>
      </c>
      <c r="Q35" s="13">
        <v>1101.0047999999999</v>
      </c>
      <c r="R35" s="13">
        <v>838.60304062500006</v>
      </c>
      <c r="S35" s="13">
        <v>496.01159999999993</v>
      </c>
      <c r="T35" s="13">
        <v>162.49399687500028</v>
      </c>
      <c r="U35" s="13">
        <v>30</v>
      </c>
    </row>
    <row r="36" spans="1:21" x14ac:dyDescent="0.3">
      <c r="A36" t="s">
        <v>162</v>
      </c>
      <c r="B36" s="13">
        <v>661.77446779257923</v>
      </c>
      <c r="C36" s="13">
        <v>250.45967392678864</v>
      </c>
      <c r="D36" s="13">
        <v>130.83731445425241</v>
      </c>
      <c r="E36" s="13">
        <v>78.333822101089027</v>
      </c>
      <c r="F36" s="13">
        <v>56.315821206212178</v>
      </c>
      <c r="G36" s="13">
        <v>46.258108865916419</v>
      </c>
      <c r="H36" s="13">
        <v>40.56630051252251</v>
      </c>
      <c r="I36" s="13">
        <v>36.571284342124301</v>
      </c>
      <c r="J36" s="13">
        <v>33.468614378513145</v>
      </c>
      <c r="K36" s="13">
        <v>31.027700049997772</v>
      </c>
      <c r="L36" s="13">
        <v>29.110791954079563</v>
      </c>
      <c r="M36" s="13">
        <v>27.520862847935028</v>
      </c>
      <c r="N36" s="13">
        <v>25.978049277656787</v>
      </c>
      <c r="O36" s="13">
        <v>24.150502256579347</v>
      </c>
      <c r="P36" s="13">
        <v>21.71564686592674</v>
      </c>
      <c r="Q36" s="13">
        <v>18.446338003616191</v>
      </c>
      <c r="R36" s="13">
        <v>14.322830793076436</v>
      </c>
      <c r="S36" s="13">
        <v>9.6735773949158848</v>
      </c>
      <c r="T36" s="13">
        <v>5.3484588292488207</v>
      </c>
      <c r="U36" s="13">
        <v>1.5500001030576811</v>
      </c>
    </row>
    <row r="37" spans="1:21" x14ac:dyDescent="0.3">
      <c r="A37" t="s">
        <v>163</v>
      </c>
      <c r="B37" s="13">
        <f t="shared" ref="B37:U37" si="0">B34-B35-B36</f>
        <v>-48.665756465175264</v>
      </c>
      <c r="C37" s="13">
        <f t="shared" si="0"/>
        <v>529.88848345314273</v>
      </c>
      <c r="D37" s="13">
        <f t="shared" si="0"/>
        <v>738.97812588168244</v>
      </c>
      <c r="E37" s="13">
        <f t="shared" si="0"/>
        <v>806.69819947632914</v>
      </c>
      <c r="F37" s="13">
        <f t="shared" si="0"/>
        <v>777.47242017913027</v>
      </c>
      <c r="G37" s="13">
        <f t="shared" si="0"/>
        <v>677.23066118210193</v>
      </c>
      <c r="H37" s="13">
        <f t="shared" si="0"/>
        <v>519.83959063043676</v>
      </c>
      <c r="I37" s="13">
        <f t="shared" si="0"/>
        <v>314.40062208847576</v>
      </c>
      <c r="J37" s="13">
        <f t="shared" si="0"/>
        <v>70.413108512671471</v>
      </c>
      <c r="K37" s="13">
        <f t="shared" si="0"/>
        <v>-198.86066301708647</v>
      </c>
      <c r="L37" s="13">
        <f t="shared" si="0"/>
        <v>-474.47341076555716</v>
      </c>
      <c r="M37" s="13">
        <f t="shared" si="0"/>
        <v>-731.30077023810861</v>
      </c>
      <c r="N37" s="13">
        <f t="shared" si="0"/>
        <v>-939.16931077409572</v>
      </c>
      <c r="O37" s="13">
        <f t="shared" si="0"/>
        <v>-1065.8791099564223</v>
      </c>
      <c r="P37" s="13">
        <f t="shared" si="0"/>
        <v>-1082.4245061967943</v>
      </c>
      <c r="Q37" s="13">
        <f t="shared" si="0"/>
        <v>-970.72600740363464</v>
      </c>
      <c r="R37" s="13">
        <f t="shared" si="0"/>
        <v>-734.19006030509308</v>
      </c>
      <c r="S37" s="13">
        <f t="shared" si="0"/>
        <v>-411.41600692530034</v>
      </c>
      <c r="T37" s="13">
        <f t="shared" si="0"/>
        <v>-93.37209518396358</v>
      </c>
      <c r="U37" s="13">
        <f t="shared" si="0"/>
        <v>-6.5500001030576813</v>
      </c>
    </row>
    <row r="38" spans="1:21" x14ac:dyDescent="0.3">
      <c r="A38" t="s">
        <v>165</v>
      </c>
      <c r="B38" s="13">
        <v>146.20457034354581</v>
      </c>
      <c r="C38" s="13">
        <v>681.94123661043056</v>
      </c>
      <c r="D38" s="13">
        <v>1448.1970119565306</v>
      </c>
      <c r="E38" s="13">
        <v>2312.8230919111211</v>
      </c>
      <c r="F38" s="13">
        <v>3182.8084357666962</v>
      </c>
      <c r="G38" s="13">
        <v>3987.3514343794654</v>
      </c>
      <c r="H38" s="13">
        <v>4666.6850823850828</v>
      </c>
      <c r="I38" s="13">
        <v>5167.7531077689619</v>
      </c>
      <c r="J38" s="13">
        <v>5444.876340592391</v>
      </c>
      <c r="K38" s="13">
        <v>5463.8107311989997</v>
      </c>
      <c r="L38" s="13">
        <v>5207.8897496814043</v>
      </c>
      <c r="M38" s="13">
        <v>4684.9045694305523</v>
      </c>
      <c r="N38" s="13">
        <v>3933.1314414336789</v>
      </c>
      <c r="O38" s="13">
        <v>3024.5775891346038</v>
      </c>
      <c r="P38" s="13">
        <v>2063.1361865031936</v>
      </c>
      <c r="Q38" s="13">
        <v>1174.9356265596866</v>
      </c>
      <c r="R38" s="13">
        <v>487.74299131698103</v>
      </c>
      <c r="S38" s="13">
        <v>95.836704044360019</v>
      </c>
      <c r="T38" s="13">
        <v>6.2980770221708475</v>
      </c>
      <c r="U38" s="13">
        <v>0</v>
      </c>
    </row>
    <row r="39" spans="1:21" x14ac:dyDescent="0.3">
      <c r="A39" t="s">
        <v>166</v>
      </c>
      <c r="B39" s="13">
        <f>$B$40*(B37)</f>
        <v>-2.3116234320958249</v>
      </c>
      <c r="C39" s="13">
        <f>$B$40*(B38+C37)</f>
        <v>32.114420055342705</v>
      </c>
      <c r="D39" s="13">
        <f>$B$40*(C38+D37)</f>
        <v>67.493669718375372</v>
      </c>
      <c r="E39" s="13">
        <f t="shared" ref="E39:U39" si="1">$B$40*(D38+E37)</f>
        <v>107.10752254306082</v>
      </c>
      <c r="F39" s="13">
        <f t="shared" si="1"/>
        <v>146.78903682428694</v>
      </c>
      <c r="G39" s="13">
        <f t="shared" si="1"/>
        <v>183.35185710506792</v>
      </c>
      <c r="H39" s="13">
        <f t="shared" si="1"/>
        <v>214.09157368797037</v>
      </c>
      <c r="I39" s="13">
        <f t="shared" si="1"/>
        <v>236.60157096249404</v>
      </c>
      <c r="J39" s="13">
        <f t="shared" si="1"/>
        <v>248.81289527337762</v>
      </c>
      <c r="K39" s="13">
        <f t="shared" si="1"/>
        <v>249.18574468482697</v>
      </c>
      <c r="L39" s="13">
        <f t="shared" si="1"/>
        <v>236.99352272058854</v>
      </c>
      <c r="M39" s="13">
        <f t="shared" si="1"/>
        <v>212.63797652355657</v>
      </c>
      <c r="N39" s="13">
        <f t="shared" si="1"/>
        <v>177.92242478618169</v>
      </c>
      <c r="O39" s="13">
        <f t="shared" si="1"/>
        <v>136.19448574516969</v>
      </c>
      <c r="P39" s="13">
        <f t="shared" si="1"/>
        <v>92.25227143954595</v>
      </c>
      <c r="Q39" s="13">
        <f t="shared" si="1"/>
        <v>51.889483507229052</v>
      </c>
      <c r="R39" s="13">
        <f t="shared" si="1"/>
        <v>20.935414397093194</v>
      </c>
      <c r="S39" s="13">
        <f t="shared" si="1"/>
        <v>3.6255317586048332</v>
      </c>
      <c r="T39" s="13">
        <f t="shared" si="1"/>
        <v>0.11706892086883083</v>
      </c>
      <c r="U39" s="13">
        <f t="shared" si="1"/>
        <v>-1.1966346342124606E-2</v>
      </c>
    </row>
    <row r="40" spans="1:21" x14ac:dyDescent="0.3">
      <c r="A40" t="s">
        <v>248</v>
      </c>
      <c r="B40" s="12">
        <v>4.7500000000000001E-2</v>
      </c>
      <c r="C40" s="13"/>
      <c r="D40" s="13"/>
      <c r="E40" s="13"/>
      <c r="F40" s="13"/>
      <c r="G40" s="13"/>
      <c r="H40" s="13"/>
      <c r="I40" s="13"/>
      <c r="J40" s="13"/>
      <c r="K40" s="13"/>
      <c r="L40" s="13"/>
      <c r="M40" s="13"/>
      <c r="N40" s="13"/>
      <c r="O40" s="13"/>
      <c r="P40" s="13"/>
      <c r="Q40" s="13"/>
      <c r="R40" s="13"/>
      <c r="S40" s="13"/>
      <c r="T40" s="13"/>
      <c r="U40" s="13"/>
    </row>
    <row r="41" spans="1:21" x14ac:dyDescent="0.3">
      <c r="A41" t="s">
        <v>167</v>
      </c>
      <c r="B41" s="27">
        <f>B37+B39-B38</f>
        <v>-197.18195024081689</v>
      </c>
      <c r="C41" s="27">
        <f t="shared" ref="C41:U41" si="2">C37+C39-(C38-B38)</f>
        <v>26.26623724160072</v>
      </c>
      <c r="D41" s="27">
        <f t="shared" si="2"/>
        <v>40.216020253957822</v>
      </c>
      <c r="E41" s="27">
        <f t="shared" si="2"/>
        <v>49.179642064799395</v>
      </c>
      <c r="F41" s="27">
        <f t="shared" si="2"/>
        <v>54.276113147842125</v>
      </c>
      <c r="G41" s="27">
        <f t="shared" si="2"/>
        <v>56.039519674400594</v>
      </c>
      <c r="H41" s="27">
        <f t="shared" si="2"/>
        <v>54.597516312789821</v>
      </c>
      <c r="I41" s="27">
        <f t="shared" si="2"/>
        <v>49.934167667090719</v>
      </c>
      <c r="J41" s="27">
        <f t="shared" si="2"/>
        <v>42.102770962619957</v>
      </c>
      <c r="K41" s="27">
        <f t="shared" si="2"/>
        <v>31.390691061131747</v>
      </c>
      <c r="L41" s="27">
        <f t="shared" si="2"/>
        <v>18.441093472626847</v>
      </c>
      <c r="M41" s="27">
        <f t="shared" si="2"/>
        <v>4.3223865362999732</v>
      </c>
      <c r="N41" s="27">
        <f t="shared" si="2"/>
        <v>-9.4737579910406566</v>
      </c>
      <c r="O41" s="27">
        <f t="shared" si="2"/>
        <v>-21.130771912177579</v>
      </c>
      <c r="P41" s="27">
        <f t="shared" si="2"/>
        <v>-28.730832125838106</v>
      </c>
      <c r="Q41" s="27">
        <f t="shared" si="2"/>
        <v>-30.635963952898578</v>
      </c>
      <c r="R41" s="27">
        <f t="shared" si="2"/>
        <v>-26.062010665294338</v>
      </c>
      <c r="S41" s="27">
        <f t="shared" si="2"/>
        <v>-15.8841878940745</v>
      </c>
      <c r="T41" s="27">
        <f t="shared" si="2"/>
        <v>-3.7163992409055737</v>
      </c>
      <c r="U41" s="27">
        <f t="shared" si="2"/>
        <v>-0.2638894272289587</v>
      </c>
    </row>
    <row r="44" spans="1:21" x14ac:dyDescent="0.3">
      <c r="A44" t="s">
        <v>168</v>
      </c>
    </row>
    <row r="45" spans="1:21" x14ac:dyDescent="0.3">
      <c r="A45" t="s">
        <v>442</v>
      </c>
    </row>
    <row r="46" spans="1:21" x14ac:dyDescent="0.3">
      <c r="A46" t="s">
        <v>444</v>
      </c>
      <c r="B46" s="55">
        <v>0.06</v>
      </c>
      <c r="C46" t="s">
        <v>246</v>
      </c>
      <c r="D46" s="29">
        <f>NPV(B46,B41:U41)</f>
        <v>57.702509911849738</v>
      </c>
      <c r="F46" s="26" t="s">
        <v>443</v>
      </c>
    </row>
    <row r="47" spans="1:21" x14ac:dyDescent="0.3">
      <c r="A47" t="s">
        <v>445</v>
      </c>
    </row>
    <row r="48" spans="1:21" x14ac:dyDescent="0.3">
      <c r="A48" t="s">
        <v>247</v>
      </c>
      <c r="B48" s="28">
        <f t="shared" ref="B48:U48" si="3">B37+B39</f>
        <v>-50.977379897271092</v>
      </c>
      <c r="C48" s="29">
        <f t="shared" si="3"/>
        <v>562.00290350848547</v>
      </c>
      <c r="D48" s="29">
        <f t="shared" si="3"/>
        <v>806.47179560005782</v>
      </c>
      <c r="E48" s="29">
        <f t="shared" si="3"/>
        <v>913.80572201938992</v>
      </c>
      <c r="F48" s="29">
        <f t="shared" si="3"/>
        <v>924.26145700341726</v>
      </c>
      <c r="G48" s="29">
        <f t="shared" si="3"/>
        <v>860.58251828716982</v>
      </c>
      <c r="H48" s="29">
        <f t="shared" si="3"/>
        <v>733.93116431840713</v>
      </c>
      <c r="I48" s="29">
        <f t="shared" si="3"/>
        <v>551.00219305096982</v>
      </c>
      <c r="J48" s="29">
        <f t="shared" si="3"/>
        <v>319.22600378604909</v>
      </c>
      <c r="K48" s="29">
        <f t="shared" si="3"/>
        <v>50.325081667740506</v>
      </c>
      <c r="L48" s="29">
        <f t="shared" si="3"/>
        <v>-237.47988804496862</v>
      </c>
      <c r="M48" s="29">
        <f t="shared" si="3"/>
        <v>-518.66279371455198</v>
      </c>
      <c r="N48" s="29">
        <f t="shared" si="3"/>
        <v>-761.24688598791408</v>
      </c>
      <c r="O48" s="29">
        <f t="shared" si="3"/>
        <v>-929.68462421125264</v>
      </c>
      <c r="P48" s="29">
        <f t="shared" si="3"/>
        <v>-990.17223475724836</v>
      </c>
      <c r="Q48" s="29">
        <f t="shared" si="3"/>
        <v>-918.83652389640554</v>
      </c>
      <c r="R48" s="29">
        <f t="shared" si="3"/>
        <v>-713.25464590799993</v>
      </c>
      <c r="S48" s="29">
        <f t="shared" si="3"/>
        <v>-407.7904751666955</v>
      </c>
      <c r="T48" s="29">
        <f t="shared" si="3"/>
        <v>-93.255026263094749</v>
      </c>
      <c r="U48" s="29">
        <f t="shared" si="3"/>
        <v>-6.5619664493998062</v>
      </c>
    </row>
    <row r="49" spans="1:4" x14ac:dyDescent="0.3">
      <c r="A49" s="26" t="s">
        <v>251</v>
      </c>
    </row>
    <row r="51" spans="1:4" x14ac:dyDescent="0.3">
      <c r="A51" t="s">
        <v>446</v>
      </c>
    </row>
    <row r="52" spans="1:4" x14ac:dyDescent="0.3">
      <c r="A52" t="s">
        <v>447</v>
      </c>
    </row>
    <row r="54" spans="1:4" x14ac:dyDescent="0.3">
      <c r="A54" t="s">
        <v>169</v>
      </c>
    </row>
    <row r="56" spans="1:4" x14ac:dyDescent="0.3">
      <c r="A56" s="17" t="s">
        <v>249</v>
      </c>
      <c r="D56" s="26" t="s">
        <v>254</v>
      </c>
    </row>
    <row r="57" spans="1:4" x14ac:dyDescent="0.3">
      <c r="A57" s="17" t="s">
        <v>250</v>
      </c>
      <c r="D57" s="26" t="s">
        <v>321</v>
      </c>
    </row>
    <row r="58" spans="1:4" x14ac:dyDescent="0.3">
      <c r="A58" s="17" t="s">
        <v>448</v>
      </c>
      <c r="D58" s="26" t="s">
        <v>321</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CEAA8-1178-2F46-ADD5-B26F217F18DB}">
  <sheetPr>
    <tabColor theme="5" tint="0.39997558519241921"/>
  </sheetPr>
  <dimension ref="A1:B70"/>
  <sheetViews>
    <sheetView zoomScale="115" zoomScaleNormal="115" workbookViewId="0"/>
  </sheetViews>
  <sheetFormatPr defaultColWidth="11.19921875" defaultRowHeight="15.6" x14ac:dyDescent="0.3"/>
  <cols>
    <col min="1" max="1" width="15.19921875" customWidth="1"/>
  </cols>
  <sheetData>
    <row r="1" spans="1:1" x14ac:dyDescent="0.3">
      <c r="A1" s="49" t="s">
        <v>348</v>
      </c>
    </row>
    <row r="4" spans="1:1" hidden="1" x14ac:dyDescent="0.3"/>
    <row r="5" spans="1:1" hidden="1" x14ac:dyDescent="0.3"/>
    <row r="6" spans="1:1" hidden="1" x14ac:dyDescent="0.3"/>
    <row r="7" spans="1:1" hidden="1" x14ac:dyDescent="0.3"/>
    <row r="8" spans="1:1" hidden="1" x14ac:dyDescent="0.3"/>
    <row r="9" spans="1:1" hidden="1" x14ac:dyDescent="0.3"/>
    <row r="10" spans="1:1" hidden="1" x14ac:dyDescent="0.3"/>
    <row r="11" spans="1:1" x14ac:dyDescent="0.3">
      <c r="A11" t="s">
        <v>170</v>
      </c>
    </row>
    <row r="12" spans="1:1" x14ac:dyDescent="0.3">
      <c r="A12" t="s">
        <v>171</v>
      </c>
    </row>
    <row r="13" spans="1:1" x14ac:dyDescent="0.3">
      <c r="A13" t="s">
        <v>172</v>
      </c>
    </row>
    <row r="15" spans="1:1" x14ac:dyDescent="0.3">
      <c r="A15" t="s">
        <v>184</v>
      </c>
    </row>
    <row r="16" spans="1:1" hidden="1" x14ac:dyDescent="0.3"/>
    <row r="17" spans="1:2" hidden="1" x14ac:dyDescent="0.3"/>
    <row r="18" spans="1:2" hidden="1" x14ac:dyDescent="0.3"/>
    <row r="19" spans="1:2" hidden="1" x14ac:dyDescent="0.3"/>
    <row r="20" spans="1:2" hidden="1" x14ac:dyDescent="0.3"/>
    <row r="21" spans="1:2" hidden="1" x14ac:dyDescent="0.3"/>
    <row r="22" spans="1:2" hidden="1" x14ac:dyDescent="0.3"/>
    <row r="23" spans="1:2" hidden="1" x14ac:dyDescent="0.3"/>
    <row r="26" spans="1:2" x14ac:dyDescent="0.3">
      <c r="A26" t="s">
        <v>453</v>
      </c>
    </row>
    <row r="27" spans="1:2" x14ac:dyDescent="0.3">
      <c r="A27" t="s">
        <v>173</v>
      </c>
    </row>
    <row r="28" spans="1:2" x14ac:dyDescent="0.3">
      <c r="A28" t="s">
        <v>174</v>
      </c>
      <c r="B28" t="s">
        <v>175</v>
      </c>
    </row>
    <row r="29" spans="1:2" x14ac:dyDescent="0.3">
      <c r="A29" t="s">
        <v>176</v>
      </c>
      <c r="B29" t="s">
        <v>177</v>
      </c>
    </row>
    <row r="31" spans="1:2" x14ac:dyDescent="0.3">
      <c r="A31" t="s">
        <v>179</v>
      </c>
    </row>
    <row r="32" spans="1:2" x14ac:dyDescent="0.3">
      <c r="A32" t="s">
        <v>178</v>
      </c>
      <c r="B32" t="s">
        <v>180</v>
      </c>
    </row>
    <row r="34" spans="1:1" x14ac:dyDescent="0.3">
      <c r="A34" t="s">
        <v>182</v>
      </c>
    </row>
    <row r="35" spans="1:1" x14ac:dyDescent="0.3">
      <c r="A35" t="s">
        <v>225</v>
      </c>
    </row>
    <row r="36" spans="1:1" hidden="1" x14ac:dyDescent="0.3"/>
    <row r="37" spans="1:1" hidden="1" x14ac:dyDescent="0.3"/>
    <row r="38" spans="1:1" hidden="1" x14ac:dyDescent="0.3"/>
    <row r="39" spans="1:1" x14ac:dyDescent="0.3">
      <c r="A39" t="s">
        <v>454</v>
      </c>
    </row>
    <row r="40" spans="1:1" hidden="1" x14ac:dyDescent="0.3"/>
    <row r="43" spans="1:1" x14ac:dyDescent="0.3">
      <c r="A43" t="s">
        <v>181</v>
      </c>
    </row>
    <row r="45" spans="1:1" x14ac:dyDescent="0.3">
      <c r="A45" t="s">
        <v>113</v>
      </c>
    </row>
    <row r="46" spans="1:1" x14ac:dyDescent="0.3">
      <c r="A46" t="s">
        <v>455</v>
      </c>
    </row>
    <row r="47" spans="1:1" x14ac:dyDescent="0.3">
      <c r="A47" t="s">
        <v>456</v>
      </c>
    </row>
    <row r="48" spans="1:1" hidden="1" x14ac:dyDescent="0.3"/>
    <row r="49" spans="1:1" hidden="1" x14ac:dyDescent="0.3"/>
    <row r="50" spans="1:1" hidden="1" x14ac:dyDescent="0.3"/>
    <row r="51" spans="1:1" hidden="1" x14ac:dyDescent="0.3"/>
    <row r="53" spans="1:1" x14ac:dyDescent="0.3">
      <c r="A53" t="s">
        <v>183</v>
      </c>
    </row>
    <row r="54" spans="1:1" hidden="1" x14ac:dyDescent="0.3"/>
    <row r="56" spans="1:1" x14ac:dyDescent="0.3">
      <c r="A56" t="s">
        <v>458</v>
      </c>
    </row>
    <row r="57" spans="1:1" hidden="1" x14ac:dyDescent="0.3"/>
    <row r="58" spans="1:1" hidden="1" x14ac:dyDescent="0.3"/>
    <row r="61" spans="1:1" x14ac:dyDescent="0.3">
      <c r="A61" t="s">
        <v>186</v>
      </c>
    </row>
    <row r="63" spans="1:1" x14ac:dyDescent="0.3">
      <c r="A63" t="s">
        <v>234</v>
      </c>
    </row>
    <row r="64" spans="1:1" hidden="1" x14ac:dyDescent="0.3"/>
    <row r="65" spans="1:1" hidden="1" x14ac:dyDescent="0.3"/>
    <row r="66" spans="1:1" hidden="1" x14ac:dyDescent="0.3"/>
    <row r="67" spans="1:1" hidden="1" x14ac:dyDescent="0.3"/>
    <row r="68" spans="1:1" hidden="1" x14ac:dyDescent="0.3"/>
    <row r="70" spans="1:1" x14ac:dyDescent="0.3">
      <c r="A70" t="s">
        <v>185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B2FDE-E410-A54C-92B0-36799E6013AE}">
  <sheetPr>
    <tabColor theme="9" tint="0.59999389629810485"/>
  </sheetPr>
  <dimension ref="A1:G75"/>
  <sheetViews>
    <sheetView zoomScale="115" zoomScaleNormal="115" workbookViewId="0"/>
  </sheetViews>
  <sheetFormatPr defaultColWidth="11.19921875" defaultRowHeight="15.6" x14ac:dyDescent="0.3"/>
  <cols>
    <col min="1" max="1" width="15.19921875" customWidth="1"/>
  </cols>
  <sheetData>
    <row r="1" spans="1:1" x14ac:dyDescent="0.3">
      <c r="A1" s="49" t="s">
        <v>490</v>
      </c>
    </row>
    <row r="3" spans="1:1" x14ac:dyDescent="0.3">
      <c r="A3" s="49" t="s">
        <v>345</v>
      </c>
    </row>
    <row r="4" spans="1:1" x14ac:dyDescent="0.3">
      <c r="A4" t="s">
        <v>487</v>
      </c>
    </row>
    <row r="5" spans="1:1" x14ac:dyDescent="0.3">
      <c r="A5" t="s">
        <v>491</v>
      </c>
    </row>
    <row r="7" spans="1:1" x14ac:dyDescent="0.3">
      <c r="A7" s="49" t="s">
        <v>305</v>
      </c>
    </row>
    <row r="8" spans="1:1" x14ac:dyDescent="0.3">
      <c r="A8" t="s">
        <v>322</v>
      </c>
    </row>
    <row r="9" spans="1:1" x14ac:dyDescent="0.3">
      <c r="A9" t="s">
        <v>323</v>
      </c>
    </row>
    <row r="11" spans="1:1" x14ac:dyDescent="0.3">
      <c r="A11" t="s">
        <v>449</v>
      </c>
    </row>
    <row r="12" spans="1:1" x14ac:dyDescent="0.3">
      <c r="A12" t="s">
        <v>171</v>
      </c>
    </row>
    <row r="13" spans="1:1" x14ac:dyDescent="0.3">
      <c r="A13" t="s">
        <v>172</v>
      </c>
    </row>
    <row r="15" spans="1:1" x14ac:dyDescent="0.3">
      <c r="A15" t="s">
        <v>184</v>
      </c>
    </row>
    <row r="16" spans="1:1" x14ac:dyDescent="0.3">
      <c r="A16" s="23" t="s">
        <v>450</v>
      </c>
    </row>
    <row r="17" spans="1:2" x14ac:dyDescent="0.3">
      <c r="A17" s="17" t="s">
        <v>451</v>
      </c>
    </row>
    <row r="18" spans="1:2" x14ac:dyDescent="0.3">
      <c r="A18" s="17" t="s">
        <v>227</v>
      </c>
    </row>
    <row r="19" spans="1:2" x14ac:dyDescent="0.3">
      <c r="A19" s="17" t="s">
        <v>452</v>
      </c>
    </row>
    <row r="20" spans="1:2" x14ac:dyDescent="0.3">
      <c r="A20" s="17" t="s">
        <v>228</v>
      </c>
    </row>
    <row r="21" spans="1:2" x14ac:dyDescent="0.3">
      <c r="A21" s="17" t="s">
        <v>229</v>
      </c>
    </row>
    <row r="22" spans="1:2" x14ac:dyDescent="0.3">
      <c r="A22" s="17" t="s">
        <v>230</v>
      </c>
    </row>
    <row r="23" spans="1:2" x14ac:dyDescent="0.3">
      <c r="A23" s="17" t="s">
        <v>231</v>
      </c>
    </row>
    <row r="24" spans="1:2" x14ac:dyDescent="0.3">
      <c r="A24" s="17" t="s">
        <v>232</v>
      </c>
    </row>
    <row r="26" spans="1:2" x14ac:dyDescent="0.3">
      <c r="A26" t="s">
        <v>453</v>
      </c>
    </row>
    <row r="27" spans="1:2" x14ac:dyDescent="0.3">
      <c r="A27" t="s">
        <v>173</v>
      </c>
    </row>
    <row r="28" spans="1:2" x14ac:dyDescent="0.3">
      <c r="A28" t="s">
        <v>174</v>
      </c>
      <c r="B28" t="s">
        <v>175</v>
      </c>
    </row>
    <row r="29" spans="1:2" x14ac:dyDescent="0.3">
      <c r="A29" t="s">
        <v>176</v>
      </c>
      <c r="B29" t="s">
        <v>177</v>
      </c>
    </row>
    <row r="31" spans="1:2" x14ac:dyDescent="0.3">
      <c r="A31" t="s">
        <v>179</v>
      </c>
    </row>
    <row r="32" spans="1:2" x14ac:dyDescent="0.3">
      <c r="A32" t="s">
        <v>178</v>
      </c>
      <c r="B32" t="s">
        <v>180</v>
      </c>
    </row>
    <row r="34" spans="1:5" x14ac:dyDescent="0.3">
      <c r="A34" t="s">
        <v>182</v>
      </c>
    </row>
    <row r="35" spans="1:5" x14ac:dyDescent="0.3">
      <c r="A35" t="s">
        <v>225</v>
      </c>
    </row>
    <row r="36" spans="1:5" x14ac:dyDescent="0.3">
      <c r="A36" s="24" t="s">
        <v>224</v>
      </c>
      <c r="E36" s="23" t="s">
        <v>240</v>
      </c>
    </row>
    <row r="39" spans="1:5" x14ac:dyDescent="0.3">
      <c r="A39" t="s">
        <v>454</v>
      </c>
    </row>
    <row r="40" spans="1:5" x14ac:dyDescent="0.3">
      <c r="A40" s="24" t="s">
        <v>226</v>
      </c>
      <c r="E40" s="23" t="s">
        <v>239</v>
      </c>
    </row>
    <row r="43" spans="1:5" x14ac:dyDescent="0.3">
      <c r="A43" t="s">
        <v>181</v>
      </c>
    </row>
    <row r="45" spans="1:5" x14ac:dyDescent="0.3">
      <c r="A45" t="s">
        <v>113</v>
      </c>
    </row>
    <row r="46" spans="1:5" x14ac:dyDescent="0.3">
      <c r="A46" t="s">
        <v>455</v>
      </c>
    </row>
    <row r="47" spans="1:5" x14ac:dyDescent="0.3">
      <c r="A47" t="s">
        <v>456</v>
      </c>
    </row>
    <row r="49" spans="1:7" x14ac:dyDescent="0.3">
      <c r="A49" s="24" t="s">
        <v>457</v>
      </c>
      <c r="G49" s="23" t="s">
        <v>241</v>
      </c>
    </row>
    <row r="53" spans="1:7" x14ac:dyDescent="0.3">
      <c r="A53" t="s">
        <v>183</v>
      </c>
    </row>
    <row r="54" spans="1:7" x14ac:dyDescent="0.3">
      <c r="A54" s="24" t="s">
        <v>242</v>
      </c>
    </row>
    <row r="55" spans="1:7" x14ac:dyDescent="0.3">
      <c r="G55" s="25" t="s">
        <v>243</v>
      </c>
    </row>
    <row r="56" spans="1:7" x14ac:dyDescent="0.3">
      <c r="A56" t="s">
        <v>458</v>
      </c>
    </row>
    <row r="58" spans="1:7" x14ac:dyDescent="0.3">
      <c r="A58" s="24" t="s">
        <v>459</v>
      </c>
    </row>
    <row r="59" spans="1:7" x14ac:dyDescent="0.3">
      <c r="G59" s="25" t="s">
        <v>244</v>
      </c>
    </row>
    <row r="61" spans="1:7" x14ac:dyDescent="0.3">
      <c r="A61" t="s">
        <v>186</v>
      </c>
    </row>
    <row r="63" spans="1:7" x14ac:dyDescent="0.3">
      <c r="A63" t="s">
        <v>234</v>
      </c>
    </row>
    <row r="65" spans="1:7" x14ac:dyDescent="0.3">
      <c r="A65" s="17" t="s">
        <v>460</v>
      </c>
      <c r="G65" s="23" t="s">
        <v>233</v>
      </c>
    </row>
    <row r="66" spans="1:7" x14ac:dyDescent="0.3">
      <c r="A66" s="17" t="s">
        <v>235</v>
      </c>
    </row>
    <row r="67" spans="1:7" x14ac:dyDescent="0.3">
      <c r="A67" s="17" t="s">
        <v>461</v>
      </c>
    </row>
    <row r="70" spans="1:7" x14ac:dyDescent="0.3">
      <c r="A70" t="s">
        <v>185</v>
      </c>
    </row>
    <row r="71" spans="1:7" x14ac:dyDescent="0.3">
      <c r="G71" s="23" t="s">
        <v>236</v>
      </c>
    </row>
    <row r="74" spans="1:7" x14ac:dyDescent="0.3">
      <c r="A74" s="17" t="s">
        <v>237</v>
      </c>
    </row>
    <row r="75" spans="1:7" x14ac:dyDescent="0.3">
      <c r="A75" s="17" t="s">
        <v>238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8693D-7126-BE4D-B33A-5ED209A48838}">
  <sheetPr>
    <tabColor theme="5" tint="0.39997558519241921"/>
  </sheetPr>
  <dimension ref="A1:G42"/>
  <sheetViews>
    <sheetView zoomScale="115" zoomScaleNormal="115" workbookViewId="0"/>
  </sheetViews>
  <sheetFormatPr defaultColWidth="11.19921875" defaultRowHeight="15.6" x14ac:dyDescent="0.3"/>
  <cols>
    <col min="1" max="1" width="63.5" customWidth="1"/>
  </cols>
  <sheetData>
    <row r="1" spans="1:6" x14ac:dyDescent="0.3">
      <c r="A1" s="49" t="s">
        <v>343</v>
      </c>
    </row>
    <row r="3" spans="1:6" hidden="1" x14ac:dyDescent="0.3"/>
    <row r="4" spans="1:6" hidden="1" x14ac:dyDescent="0.3"/>
    <row r="5" spans="1:6" hidden="1" x14ac:dyDescent="0.3"/>
    <row r="6" spans="1:6" hidden="1" x14ac:dyDescent="0.3"/>
    <row r="7" spans="1:6" hidden="1" x14ac:dyDescent="0.3"/>
    <row r="8" spans="1:6" hidden="1" x14ac:dyDescent="0.3"/>
    <row r="9" spans="1:6" hidden="1" x14ac:dyDescent="0.3"/>
    <row r="11" spans="1:6" x14ac:dyDescent="0.3">
      <c r="A11" t="s">
        <v>494</v>
      </c>
    </row>
    <row r="12" spans="1:6" x14ac:dyDescent="0.3">
      <c r="A12" t="s">
        <v>0</v>
      </c>
    </row>
    <row r="13" spans="1:6" x14ac:dyDescent="0.3">
      <c r="A13" t="s">
        <v>335</v>
      </c>
      <c r="F13" s="47"/>
    </row>
    <row r="15" spans="1:6" x14ac:dyDescent="0.3">
      <c r="A15" t="s">
        <v>334</v>
      </c>
      <c r="F15" s="47"/>
    </row>
    <row r="17" spans="1:7" x14ac:dyDescent="0.3">
      <c r="A17" t="s">
        <v>1</v>
      </c>
    </row>
    <row r="18" spans="1:7" x14ac:dyDescent="0.3">
      <c r="A18" t="s">
        <v>336</v>
      </c>
    </row>
    <row r="20" spans="1:7" x14ac:dyDescent="0.3">
      <c r="A20" t="s">
        <v>337</v>
      </c>
      <c r="G20" s="47"/>
    </row>
    <row r="21" spans="1:7" x14ac:dyDescent="0.3">
      <c r="A21" t="s">
        <v>338</v>
      </c>
    </row>
    <row r="23" spans="1:7" x14ac:dyDescent="0.3">
      <c r="A23" t="s">
        <v>3</v>
      </c>
    </row>
    <row r="24" spans="1:7" x14ac:dyDescent="0.3">
      <c r="A24" t="s">
        <v>2</v>
      </c>
    </row>
    <row r="25" spans="1:7" x14ac:dyDescent="0.3">
      <c r="A25" s="1" t="s">
        <v>4</v>
      </c>
    </row>
    <row r="28" spans="1:7" x14ac:dyDescent="0.3">
      <c r="A28" t="s">
        <v>5</v>
      </c>
    </row>
    <row r="29" spans="1:7" hidden="1" x14ac:dyDescent="0.3"/>
    <row r="30" spans="1:7" hidden="1" x14ac:dyDescent="0.3"/>
    <row r="31" spans="1:7" hidden="1" x14ac:dyDescent="0.3"/>
    <row r="34" spans="1:7" x14ac:dyDescent="0.3">
      <c r="A34" t="s">
        <v>6</v>
      </c>
    </row>
    <row r="35" spans="1:7" x14ac:dyDescent="0.3">
      <c r="A35" t="s">
        <v>342</v>
      </c>
    </row>
    <row r="36" spans="1:7" x14ac:dyDescent="0.3">
      <c r="A36" s="48" t="s">
        <v>340</v>
      </c>
      <c r="G36" s="47"/>
    </row>
    <row r="38" spans="1:7" x14ac:dyDescent="0.3">
      <c r="A38" t="s">
        <v>341</v>
      </c>
    </row>
    <row r="39" spans="1:7" hidden="1" x14ac:dyDescent="0.3"/>
    <row r="42" spans="1:7" x14ac:dyDescent="0.3">
      <c r="A42" t="s">
        <v>339</v>
      </c>
      <c r="G42" s="47"/>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812FB-EB5D-9146-B45B-F9119C201F2A}">
  <sheetPr>
    <tabColor theme="5" tint="0.39997558519241921"/>
  </sheetPr>
  <dimension ref="A1:I73"/>
  <sheetViews>
    <sheetView zoomScale="115" zoomScaleNormal="115" workbookViewId="0"/>
  </sheetViews>
  <sheetFormatPr defaultColWidth="11.19921875" defaultRowHeight="15.6" x14ac:dyDescent="0.3"/>
  <sheetData>
    <row r="1" spans="1:2" x14ac:dyDescent="0.3">
      <c r="A1" s="49" t="s">
        <v>347</v>
      </c>
    </row>
    <row r="4" spans="1:2" hidden="1" x14ac:dyDescent="0.3"/>
    <row r="5" spans="1:2" hidden="1" x14ac:dyDescent="0.3"/>
    <row r="6" spans="1:2" hidden="1" x14ac:dyDescent="0.3"/>
    <row r="7" spans="1:2" hidden="1" x14ac:dyDescent="0.3"/>
    <row r="8" spans="1:2" hidden="1" x14ac:dyDescent="0.3"/>
    <row r="9" spans="1:2" hidden="1" x14ac:dyDescent="0.3"/>
    <row r="10" spans="1:2" x14ac:dyDescent="0.3">
      <c r="A10" t="s">
        <v>192</v>
      </c>
    </row>
    <row r="12" spans="1:2" x14ac:dyDescent="0.3">
      <c r="A12" s="16" t="s">
        <v>187</v>
      </c>
      <c r="B12" s="16" t="s">
        <v>188</v>
      </c>
    </row>
    <row r="13" spans="1:2" x14ac:dyDescent="0.3">
      <c r="A13">
        <v>0.25</v>
      </c>
      <c r="B13" s="15">
        <v>0.99004983374916811</v>
      </c>
    </row>
    <row r="14" spans="1:2" x14ac:dyDescent="0.3">
      <c r="A14">
        <v>0.5</v>
      </c>
      <c r="B14" s="15">
        <v>0.97824023505121005</v>
      </c>
    </row>
    <row r="15" spans="1:2" x14ac:dyDescent="0.3">
      <c r="A15" s="14">
        <v>1</v>
      </c>
      <c r="B15" s="15">
        <v>0.95408739759037109</v>
      </c>
    </row>
    <row r="16" spans="1:2" x14ac:dyDescent="0.3">
      <c r="A16">
        <v>1.5</v>
      </c>
      <c r="B16" s="15">
        <v>0.92774348632855286</v>
      </c>
    </row>
    <row r="17" spans="1:2" x14ac:dyDescent="0.3">
      <c r="A17" s="14">
        <v>2</v>
      </c>
      <c r="B17" s="15">
        <v>0.90302955166887677</v>
      </c>
    </row>
    <row r="18" spans="1:2" x14ac:dyDescent="0.3">
      <c r="A18">
        <v>2.5</v>
      </c>
      <c r="B18" s="15">
        <v>0.8780954309205613</v>
      </c>
    </row>
    <row r="19" spans="1:2" x14ac:dyDescent="0.3">
      <c r="A19" s="14">
        <v>3</v>
      </c>
      <c r="B19" s="15">
        <v>0.85299635896913151</v>
      </c>
    </row>
    <row r="20" spans="1:2" x14ac:dyDescent="0.3">
      <c r="A20">
        <v>3.5</v>
      </c>
      <c r="B20" s="15">
        <v>0.82778650669473364</v>
      </c>
    </row>
    <row r="21" spans="1:2" x14ac:dyDescent="0.3">
      <c r="A21" s="14">
        <v>4</v>
      </c>
      <c r="B21" s="15">
        <v>0.80251879796247849</v>
      </c>
    </row>
    <row r="22" spans="1:2" x14ac:dyDescent="0.3">
      <c r="A22">
        <v>4.5</v>
      </c>
      <c r="B22" s="15">
        <v>0.77724473806894612</v>
      </c>
    </row>
    <row r="23" spans="1:2" x14ac:dyDescent="0.3">
      <c r="A23" s="14">
        <v>5</v>
      </c>
      <c r="B23" s="15">
        <v>0.75201425431938262</v>
      </c>
    </row>
    <row r="25" spans="1:2" x14ac:dyDescent="0.3">
      <c r="A25" t="s">
        <v>191</v>
      </c>
    </row>
    <row r="26" spans="1:2" x14ac:dyDescent="0.3">
      <c r="A26" t="s">
        <v>462</v>
      </c>
    </row>
    <row r="28" spans="1:2" x14ac:dyDescent="0.3">
      <c r="A28" t="s">
        <v>189</v>
      </c>
    </row>
    <row r="30" spans="1:2" x14ac:dyDescent="0.3">
      <c r="A30" t="s">
        <v>202</v>
      </c>
      <c r="B30" s="20"/>
    </row>
    <row r="32" spans="1:2" x14ac:dyDescent="0.3">
      <c r="A32" t="s">
        <v>190</v>
      </c>
    </row>
    <row r="33" spans="1:2" hidden="1" x14ac:dyDescent="0.3"/>
    <row r="34" spans="1:2" hidden="1" x14ac:dyDescent="0.3"/>
    <row r="35" spans="1:2" hidden="1" x14ac:dyDescent="0.3"/>
    <row r="37" spans="1:2" x14ac:dyDescent="0.3">
      <c r="A37" t="s">
        <v>208</v>
      </c>
      <c r="B37" s="20"/>
    </row>
    <row r="39" spans="1:2" x14ac:dyDescent="0.3">
      <c r="A39" t="s">
        <v>193</v>
      </c>
    </row>
    <row r="41" spans="1:2" x14ac:dyDescent="0.3">
      <c r="A41" s="3" t="s">
        <v>187</v>
      </c>
      <c r="B41" s="3" t="s">
        <v>188</v>
      </c>
    </row>
    <row r="42" spans="1:2" x14ac:dyDescent="0.3">
      <c r="A42">
        <v>0.25</v>
      </c>
      <c r="B42" s="15">
        <v>0.98760249024751445</v>
      </c>
    </row>
    <row r="43" spans="1:2" x14ac:dyDescent="0.3">
      <c r="A43">
        <v>0.75</v>
      </c>
      <c r="B43" s="15">
        <v>0.96326666001120287</v>
      </c>
    </row>
    <row r="44" spans="1:2" x14ac:dyDescent="0.3">
      <c r="A44">
        <v>1.25</v>
      </c>
      <c r="B44" s="15">
        <v>0.93953049678579781</v>
      </c>
    </row>
    <row r="45" spans="1:2" x14ac:dyDescent="0.3">
      <c r="A45">
        <v>1.75</v>
      </c>
      <c r="B45" s="15">
        <v>0.91637922398383642</v>
      </c>
    </row>
    <row r="46" spans="1:2" x14ac:dyDescent="0.3">
      <c r="A46">
        <v>2.25</v>
      </c>
      <c r="B46" s="15">
        <v>0.89379842913249452</v>
      </c>
    </row>
    <row r="47" spans="1:2" x14ac:dyDescent="0.3">
      <c r="A47">
        <v>2.75</v>
      </c>
      <c r="B47" s="15">
        <v>0.87177405490132076</v>
      </c>
    </row>
    <row r="48" spans="1:2" x14ac:dyDescent="0.3">
      <c r="A48">
        <v>3.25</v>
      </c>
      <c r="B48" s="15">
        <v>0.85029239035105975</v>
      </c>
    </row>
    <row r="49" spans="1:9" x14ac:dyDescent="0.3">
      <c r="A49">
        <v>3.75</v>
      </c>
      <c r="B49" s="15">
        <v>0.82934006239811497</v>
      </c>
    </row>
    <row r="50" spans="1:9" x14ac:dyDescent="0.3">
      <c r="A50">
        <v>4.25</v>
      </c>
      <c r="B50" s="15">
        <v>0.80890402748933865</v>
      </c>
    </row>
    <row r="51" spans="1:9" x14ac:dyDescent="0.3">
      <c r="A51">
        <v>4.75</v>
      </c>
      <c r="B51" s="15">
        <v>0.78897156348196695</v>
      </c>
    </row>
    <row r="53" spans="1:9" x14ac:dyDescent="0.3">
      <c r="A53" t="s">
        <v>194</v>
      </c>
    </row>
    <row r="54" spans="1:9" hidden="1" x14ac:dyDescent="0.3"/>
    <row r="55" spans="1:9" hidden="1" x14ac:dyDescent="0.3"/>
    <row r="56" spans="1:9" hidden="1" x14ac:dyDescent="0.3"/>
    <row r="58" spans="1:9" x14ac:dyDescent="0.3">
      <c r="A58" t="s">
        <v>328</v>
      </c>
      <c r="B58" s="20"/>
      <c r="I58" s="13"/>
    </row>
    <row r="59" spans="1:9" x14ac:dyDescent="0.3">
      <c r="I59" s="13"/>
    </row>
    <row r="60" spans="1:9" x14ac:dyDescent="0.3">
      <c r="A60" t="s">
        <v>195</v>
      </c>
    </row>
    <row r="61" spans="1:9" x14ac:dyDescent="0.3">
      <c r="A61" t="s">
        <v>196</v>
      </c>
    </row>
    <row r="62" spans="1:9" hidden="1" x14ac:dyDescent="0.3"/>
    <row r="63" spans="1:9" hidden="1" x14ac:dyDescent="0.3"/>
    <row r="64" spans="1:9" hidden="1" x14ac:dyDescent="0.3"/>
    <row r="65" spans="1:1" hidden="1" x14ac:dyDescent="0.3"/>
    <row r="66" spans="1:1" hidden="1" x14ac:dyDescent="0.3"/>
    <row r="68" spans="1:1" x14ac:dyDescent="0.3">
      <c r="A68" t="s">
        <v>197</v>
      </c>
    </row>
    <row r="69" spans="1:1" hidden="1" x14ac:dyDescent="0.3"/>
    <row r="70" spans="1:1" hidden="1" x14ac:dyDescent="0.3"/>
    <row r="71" spans="1:1" hidden="1" x14ac:dyDescent="0.3"/>
    <row r="73" spans="1:1" x14ac:dyDescent="0.3">
      <c r="A73" t="s">
        <v>217</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8AC49-F9B0-394A-9654-07892C360E84}">
  <sheetPr>
    <tabColor theme="9" tint="0.59999389629810485"/>
  </sheetPr>
  <dimension ref="A1:K76"/>
  <sheetViews>
    <sheetView zoomScale="115" zoomScaleNormal="115" workbookViewId="0"/>
  </sheetViews>
  <sheetFormatPr defaultColWidth="11.19921875" defaultRowHeight="15.6" x14ac:dyDescent="0.3"/>
  <sheetData>
    <row r="1" spans="1:4" x14ac:dyDescent="0.3">
      <c r="A1" s="49" t="s">
        <v>492</v>
      </c>
    </row>
    <row r="3" spans="1:4" x14ac:dyDescent="0.3">
      <c r="A3" s="49" t="s">
        <v>345</v>
      </c>
    </row>
    <row r="4" spans="1:4" x14ac:dyDescent="0.3">
      <c r="A4" t="s">
        <v>493</v>
      </c>
    </row>
    <row r="6" spans="1:4" x14ac:dyDescent="0.3">
      <c r="A6" s="49" t="s">
        <v>305</v>
      </c>
    </row>
    <row r="7" spans="1:4" x14ac:dyDescent="0.3">
      <c r="A7" t="s">
        <v>325</v>
      </c>
    </row>
    <row r="8" spans="1:4" x14ac:dyDescent="0.3">
      <c r="A8" t="s">
        <v>326</v>
      </c>
    </row>
    <row r="10" spans="1:4" x14ac:dyDescent="0.3">
      <c r="A10" t="s">
        <v>192</v>
      </c>
    </row>
    <row r="12" spans="1:4" x14ac:dyDescent="0.3">
      <c r="A12" s="16" t="s">
        <v>187</v>
      </c>
      <c r="B12" s="16" t="s">
        <v>188</v>
      </c>
      <c r="C12" s="17" t="s">
        <v>200</v>
      </c>
      <c r="D12" s="17" t="s">
        <v>206</v>
      </c>
    </row>
    <row r="13" spans="1:4" x14ac:dyDescent="0.3">
      <c r="A13">
        <v>0.25</v>
      </c>
      <c r="B13" s="15">
        <v>0.99004983374916811</v>
      </c>
      <c r="C13" s="18"/>
      <c r="D13" s="19"/>
    </row>
    <row r="14" spans="1:4" x14ac:dyDescent="0.3">
      <c r="A14">
        <v>0.5</v>
      </c>
      <c r="B14" s="15">
        <v>0.97824023505121005</v>
      </c>
      <c r="C14" s="18">
        <f t="shared" ref="C14:C22" si="0">0.06/2*100</f>
        <v>3</v>
      </c>
      <c r="D14" s="19">
        <f>B14/$B$13</f>
        <v>0.98807171286193052</v>
      </c>
    </row>
    <row r="15" spans="1:4" x14ac:dyDescent="0.3">
      <c r="A15" s="14">
        <v>1</v>
      </c>
      <c r="B15" s="15">
        <v>0.95408739759037109</v>
      </c>
      <c r="C15" s="18">
        <f t="shared" si="0"/>
        <v>3</v>
      </c>
      <c r="D15" s="19">
        <f t="shared" ref="D15:D22" si="1">B15/$B$13</f>
        <v>0.96367613534905339</v>
      </c>
    </row>
    <row r="16" spans="1:4" x14ac:dyDescent="0.3">
      <c r="A16">
        <v>1.5</v>
      </c>
      <c r="B16" s="15">
        <v>0.92774348632855286</v>
      </c>
      <c r="C16" s="18">
        <f t="shared" si="0"/>
        <v>3</v>
      </c>
      <c r="D16" s="19">
        <f t="shared" si="1"/>
        <v>0.93706746337740332</v>
      </c>
    </row>
    <row r="17" spans="1:11" x14ac:dyDescent="0.3">
      <c r="A17" s="14">
        <v>2</v>
      </c>
      <c r="B17" s="15">
        <v>0.90302955166887677</v>
      </c>
      <c r="C17" s="18">
        <f t="shared" si="0"/>
        <v>3</v>
      </c>
      <c r="D17" s="19">
        <f t="shared" si="1"/>
        <v>0.91210514954509025</v>
      </c>
    </row>
    <row r="18" spans="1:11" x14ac:dyDescent="0.3">
      <c r="A18">
        <v>2.5</v>
      </c>
      <c r="B18" s="15">
        <v>0.8780954309205613</v>
      </c>
      <c r="C18" s="18">
        <f t="shared" si="0"/>
        <v>3</v>
      </c>
      <c r="D18" s="19">
        <f t="shared" si="1"/>
        <v>0.88692043671715748</v>
      </c>
    </row>
    <row r="19" spans="1:11" x14ac:dyDescent="0.3">
      <c r="A19" s="14">
        <v>3</v>
      </c>
      <c r="B19" s="15">
        <v>0.85299635896913151</v>
      </c>
      <c r="C19" s="18">
        <f t="shared" si="0"/>
        <v>3</v>
      </c>
      <c r="D19" s="19">
        <f t="shared" si="1"/>
        <v>0.86156911489895827</v>
      </c>
    </row>
    <row r="20" spans="1:11" x14ac:dyDescent="0.3">
      <c r="A20">
        <v>3.5</v>
      </c>
      <c r="B20" s="15">
        <v>0.82778650669473364</v>
      </c>
      <c r="C20" s="18">
        <f t="shared" si="0"/>
        <v>3</v>
      </c>
      <c r="D20" s="19">
        <f t="shared" si="1"/>
        <v>0.8361058993970355</v>
      </c>
    </row>
    <row r="21" spans="1:11" x14ac:dyDescent="0.3">
      <c r="A21" s="14">
        <v>4</v>
      </c>
      <c r="B21" s="15">
        <v>0.80251879796247849</v>
      </c>
      <c r="C21" s="18">
        <f t="shared" si="0"/>
        <v>3</v>
      </c>
      <c r="D21" s="19">
        <f t="shared" si="1"/>
        <v>0.81058424597018708</v>
      </c>
    </row>
    <row r="22" spans="1:11" x14ac:dyDescent="0.3">
      <c r="A22">
        <v>4.5</v>
      </c>
      <c r="B22" s="15">
        <v>0.77724473806894612</v>
      </c>
      <c r="C22" s="18">
        <f t="shared" si="0"/>
        <v>3</v>
      </c>
      <c r="D22" s="19">
        <f t="shared" si="1"/>
        <v>0.78505617755182944</v>
      </c>
    </row>
    <row r="23" spans="1:11" x14ac:dyDescent="0.3">
      <c r="A23" s="14">
        <v>5</v>
      </c>
      <c r="B23" s="15">
        <v>0.75201425431938262</v>
      </c>
      <c r="C23" s="18">
        <f>0.06/2*100 +100</f>
        <v>103</v>
      </c>
      <c r="D23" s="19">
        <f>B23/$B$13</f>
        <v>0.75957212322496848</v>
      </c>
    </row>
    <row r="25" spans="1:11" x14ac:dyDescent="0.3">
      <c r="A25" t="s">
        <v>191</v>
      </c>
    </row>
    <row r="26" spans="1:11" x14ac:dyDescent="0.3">
      <c r="A26" t="s">
        <v>462</v>
      </c>
    </row>
    <row r="28" spans="1:11" x14ac:dyDescent="0.3">
      <c r="A28" t="s">
        <v>189</v>
      </c>
    </row>
    <row r="29" spans="1:11" x14ac:dyDescent="0.3">
      <c r="A29" s="17" t="s">
        <v>198</v>
      </c>
      <c r="F29" s="17" t="s">
        <v>199</v>
      </c>
      <c r="G29" s="17" t="s">
        <v>205</v>
      </c>
      <c r="K29" s="23" t="s">
        <v>223</v>
      </c>
    </row>
    <row r="30" spans="1:11" ht="62.4" x14ac:dyDescent="0.3">
      <c r="E30" s="21" t="s">
        <v>201</v>
      </c>
      <c r="F30" t="s">
        <v>202</v>
      </c>
      <c r="G30" s="20">
        <f>SUMPRODUCT(B14:B23,C14:C23)</f>
        <v>101.16269570466099</v>
      </c>
    </row>
    <row r="32" spans="1:11" x14ac:dyDescent="0.3">
      <c r="A32" t="s">
        <v>190</v>
      </c>
    </row>
    <row r="34" spans="1:9" x14ac:dyDescent="0.3">
      <c r="D34" s="23" t="s">
        <v>463</v>
      </c>
    </row>
    <row r="35" spans="1:9" x14ac:dyDescent="0.3">
      <c r="D35" s="17" t="s">
        <v>203</v>
      </c>
      <c r="I35" t="s">
        <v>204</v>
      </c>
    </row>
    <row r="36" spans="1:9" x14ac:dyDescent="0.3">
      <c r="D36" s="17" t="s">
        <v>207</v>
      </c>
      <c r="G36" t="s">
        <v>208</v>
      </c>
      <c r="H36" s="56">
        <f>SUMPRODUCT(C14:C23,D14:D23)</f>
        <v>102.17939769917768</v>
      </c>
    </row>
    <row r="38" spans="1:9" x14ac:dyDescent="0.3">
      <c r="D38" s="17" t="s">
        <v>327</v>
      </c>
      <c r="H38" s="19">
        <f>G30/B13</f>
        <v>102.17939769917768</v>
      </c>
    </row>
    <row r="39" spans="1:9" x14ac:dyDescent="0.3">
      <c r="A39" t="s">
        <v>193</v>
      </c>
    </row>
    <row r="41" spans="1:9" x14ac:dyDescent="0.3">
      <c r="A41" s="3" t="s">
        <v>187</v>
      </c>
      <c r="B41" s="3" t="s">
        <v>188</v>
      </c>
      <c r="C41" s="22" t="s">
        <v>212</v>
      </c>
    </row>
    <row r="42" spans="1:9" x14ac:dyDescent="0.3">
      <c r="A42">
        <v>0.25</v>
      </c>
      <c r="B42" s="15">
        <v>0.98760249024751445</v>
      </c>
      <c r="C42" s="18">
        <f t="shared" ref="C42:C50" si="2">0.06/2*100</f>
        <v>3</v>
      </c>
    </row>
    <row r="43" spans="1:9" x14ac:dyDescent="0.3">
      <c r="A43">
        <v>0.75</v>
      </c>
      <c r="B43" s="15">
        <v>0.96326666001120287</v>
      </c>
      <c r="C43" s="18">
        <f t="shared" si="2"/>
        <v>3</v>
      </c>
    </row>
    <row r="44" spans="1:9" x14ac:dyDescent="0.3">
      <c r="A44">
        <v>1.25</v>
      </c>
      <c r="B44" s="15">
        <v>0.93953049678579781</v>
      </c>
      <c r="C44" s="18">
        <f t="shared" si="2"/>
        <v>3</v>
      </c>
    </row>
    <row r="45" spans="1:9" x14ac:dyDescent="0.3">
      <c r="A45">
        <v>1.75</v>
      </c>
      <c r="B45" s="15">
        <v>0.91637922398383642</v>
      </c>
      <c r="C45" s="18">
        <f t="shared" si="2"/>
        <v>3</v>
      </c>
    </row>
    <row r="46" spans="1:9" x14ac:dyDescent="0.3">
      <c r="A46">
        <v>2.25</v>
      </c>
      <c r="B46" s="15">
        <v>0.89379842913249452</v>
      </c>
      <c r="C46" s="18">
        <f t="shared" si="2"/>
        <v>3</v>
      </c>
    </row>
    <row r="47" spans="1:9" x14ac:dyDescent="0.3">
      <c r="A47">
        <v>2.75</v>
      </c>
      <c r="B47" s="15">
        <v>0.87177405490132076</v>
      </c>
      <c r="C47" s="18">
        <f t="shared" si="2"/>
        <v>3</v>
      </c>
    </row>
    <row r="48" spans="1:9" x14ac:dyDescent="0.3">
      <c r="A48">
        <v>3.25</v>
      </c>
      <c r="B48" s="15">
        <v>0.85029239035105975</v>
      </c>
      <c r="C48" s="18">
        <f t="shared" si="2"/>
        <v>3</v>
      </c>
    </row>
    <row r="49" spans="1:9" x14ac:dyDescent="0.3">
      <c r="A49">
        <v>3.75</v>
      </c>
      <c r="B49" s="15">
        <v>0.82934006239811497</v>
      </c>
      <c r="C49" s="18">
        <f t="shared" si="2"/>
        <v>3</v>
      </c>
    </row>
    <row r="50" spans="1:9" x14ac:dyDescent="0.3">
      <c r="A50">
        <v>4.25</v>
      </c>
      <c r="B50" s="15">
        <v>0.80890402748933865</v>
      </c>
      <c r="C50" s="18">
        <f t="shared" si="2"/>
        <v>3</v>
      </c>
    </row>
    <row r="51" spans="1:9" x14ac:dyDescent="0.3">
      <c r="A51">
        <v>4.75</v>
      </c>
      <c r="B51" s="15">
        <v>0.78897156348196695</v>
      </c>
      <c r="C51" s="18">
        <f>0.06/2*100 +100</f>
        <v>103</v>
      </c>
    </row>
    <row r="53" spans="1:9" x14ac:dyDescent="0.3">
      <c r="A53" t="s">
        <v>194</v>
      </c>
    </row>
    <row r="55" spans="1:9" x14ac:dyDescent="0.3">
      <c r="A55" s="17" t="s">
        <v>209</v>
      </c>
    </row>
    <row r="56" spans="1:9" x14ac:dyDescent="0.3">
      <c r="A56" s="17" t="s">
        <v>210</v>
      </c>
      <c r="F56" t="s">
        <v>211</v>
      </c>
      <c r="G56" s="17">
        <f>SUMPRODUCT(B42:B51,C42:C51)</f>
        <v>105.44673454454464</v>
      </c>
    </row>
    <row r="57" spans="1:9" x14ac:dyDescent="0.3">
      <c r="A57" s="17" t="s">
        <v>464</v>
      </c>
      <c r="I57" s="20">
        <f>G56-H36</f>
        <v>3.2673368453669553</v>
      </c>
    </row>
    <row r="58" spans="1:9" x14ac:dyDescent="0.3">
      <c r="I58" s="13"/>
    </row>
    <row r="59" spans="1:9" x14ac:dyDescent="0.3">
      <c r="I59" s="13"/>
    </row>
    <row r="60" spans="1:9" x14ac:dyDescent="0.3">
      <c r="A60" t="s">
        <v>195</v>
      </c>
    </row>
    <row r="61" spans="1:9" x14ac:dyDescent="0.3">
      <c r="A61" t="s">
        <v>196</v>
      </c>
      <c r="H61" s="23" t="s">
        <v>465</v>
      </c>
    </row>
    <row r="62" spans="1:9" x14ac:dyDescent="0.3">
      <c r="A62" s="17" t="s">
        <v>213</v>
      </c>
    </row>
    <row r="63" spans="1:9" x14ac:dyDescent="0.3">
      <c r="A63" s="17" t="s">
        <v>214</v>
      </c>
    </row>
    <row r="64" spans="1:9" x14ac:dyDescent="0.3">
      <c r="A64" s="17" t="s">
        <v>215</v>
      </c>
    </row>
    <row r="65" spans="1:8" x14ac:dyDescent="0.3">
      <c r="A65" s="17" t="s">
        <v>466</v>
      </c>
    </row>
    <row r="68" spans="1:8" x14ac:dyDescent="0.3">
      <c r="A68" t="s">
        <v>197</v>
      </c>
    </row>
    <row r="69" spans="1:8" x14ac:dyDescent="0.3">
      <c r="A69" s="17" t="s">
        <v>220</v>
      </c>
      <c r="H69" s="23" t="s">
        <v>219</v>
      </c>
    </row>
    <row r="70" spans="1:8" x14ac:dyDescent="0.3">
      <c r="A70" s="17" t="s">
        <v>221</v>
      </c>
    </row>
    <row r="71" spans="1:8" x14ac:dyDescent="0.3">
      <c r="A71" s="17" t="s">
        <v>222</v>
      </c>
    </row>
    <row r="72" spans="1:8" x14ac:dyDescent="0.3">
      <c r="A72" s="17"/>
    </row>
    <row r="73" spans="1:8" x14ac:dyDescent="0.3">
      <c r="A73" t="s">
        <v>467</v>
      </c>
    </row>
    <row r="74" spans="1:8" x14ac:dyDescent="0.3">
      <c r="A74" s="17" t="s">
        <v>216</v>
      </c>
      <c r="H74" s="23" t="s">
        <v>218</v>
      </c>
    </row>
    <row r="75" spans="1:8" x14ac:dyDescent="0.3">
      <c r="A75" s="17" t="s">
        <v>468</v>
      </c>
    </row>
    <row r="76" spans="1:8" x14ac:dyDescent="0.3">
      <c r="A76" s="17" t="s">
        <v>469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02E3F-9BA4-1846-8827-6B04887A2F9A}">
  <sheetPr>
    <tabColor theme="9" tint="0.59999389629810485"/>
  </sheetPr>
  <dimension ref="A1:F49"/>
  <sheetViews>
    <sheetView zoomScale="115" zoomScaleNormal="115" workbookViewId="0"/>
  </sheetViews>
  <sheetFormatPr defaultColWidth="11.19921875" defaultRowHeight="15.6" x14ac:dyDescent="0.3"/>
  <cols>
    <col min="1" max="1" width="63.5" customWidth="1"/>
  </cols>
  <sheetData>
    <row r="1" spans="1:6" x14ac:dyDescent="0.3">
      <c r="A1" s="49" t="s">
        <v>344</v>
      </c>
    </row>
    <row r="3" spans="1:6" x14ac:dyDescent="0.3">
      <c r="A3" s="49" t="s">
        <v>345</v>
      </c>
    </row>
    <row r="4" spans="1:6" x14ac:dyDescent="0.3">
      <c r="A4" s="51" t="s">
        <v>346</v>
      </c>
    </row>
    <row r="5" spans="1:6" x14ac:dyDescent="0.3">
      <c r="A5" s="51"/>
    </row>
    <row r="6" spans="1:6" x14ac:dyDescent="0.3">
      <c r="A6" s="50" t="s">
        <v>305</v>
      </c>
    </row>
    <row r="7" spans="1:6" x14ac:dyDescent="0.3">
      <c r="A7" t="s">
        <v>8</v>
      </c>
      <c r="B7" t="s">
        <v>9</v>
      </c>
    </row>
    <row r="8" spans="1:6" x14ac:dyDescent="0.3">
      <c r="A8" t="s">
        <v>7</v>
      </c>
      <c r="B8" t="s">
        <v>10</v>
      </c>
    </row>
    <row r="11" spans="1:6" x14ac:dyDescent="0.3">
      <c r="A11" t="s">
        <v>494</v>
      </c>
      <c r="F11" s="47" t="s">
        <v>332</v>
      </c>
    </row>
    <row r="12" spans="1:6" x14ac:dyDescent="0.3">
      <c r="A12" t="s">
        <v>0</v>
      </c>
    </row>
    <row r="13" spans="1:6" x14ac:dyDescent="0.3">
      <c r="A13" t="s">
        <v>335</v>
      </c>
    </row>
    <row r="15" spans="1:6" x14ac:dyDescent="0.3">
      <c r="A15" t="s">
        <v>334</v>
      </c>
    </row>
    <row r="17" spans="1:6" x14ac:dyDescent="0.3">
      <c r="A17" t="s">
        <v>1</v>
      </c>
    </row>
    <row r="18" spans="1:6" x14ac:dyDescent="0.3">
      <c r="A18" t="s">
        <v>336</v>
      </c>
      <c r="F18" s="47" t="s">
        <v>333</v>
      </c>
    </row>
    <row r="20" spans="1:6" x14ac:dyDescent="0.3">
      <c r="A20" t="s">
        <v>337</v>
      </c>
      <c r="F20" s="47" t="s">
        <v>333</v>
      </c>
    </row>
    <row r="21" spans="1:6" x14ac:dyDescent="0.3">
      <c r="A21" t="s">
        <v>338</v>
      </c>
    </row>
    <row r="23" spans="1:6" x14ac:dyDescent="0.3">
      <c r="A23" t="s">
        <v>3</v>
      </c>
    </row>
    <row r="24" spans="1:6" x14ac:dyDescent="0.3">
      <c r="A24" t="s">
        <v>2</v>
      </c>
    </row>
    <row r="25" spans="1:6" x14ac:dyDescent="0.3">
      <c r="A25" s="1" t="s">
        <v>4</v>
      </c>
    </row>
    <row r="28" spans="1:6" x14ac:dyDescent="0.3">
      <c r="A28" t="s">
        <v>5</v>
      </c>
    </row>
    <row r="29" spans="1:6" x14ac:dyDescent="0.3">
      <c r="A29" s="17" t="s">
        <v>17</v>
      </c>
      <c r="E29" s="23" t="s">
        <v>20</v>
      </c>
    </row>
    <row r="30" spans="1:6" x14ac:dyDescent="0.3">
      <c r="A30" s="17" t="s">
        <v>18</v>
      </c>
      <c r="E30" s="23" t="s">
        <v>20</v>
      </c>
    </row>
    <row r="31" spans="1:6" x14ac:dyDescent="0.3">
      <c r="A31" s="17" t="s">
        <v>11</v>
      </c>
      <c r="E31" s="44" t="s">
        <v>21</v>
      </c>
    </row>
    <row r="34" spans="1:6" x14ac:dyDescent="0.3">
      <c r="A34" t="s">
        <v>6</v>
      </c>
    </row>
    <row r="35" spans="1:6" x14ac:dyDescent="0.3">
      <c r="A35" t="s">
        <v>342</v>
      </c>
    </row>
    <row r="36" spans="1:6" x14ac:dyDescent="0.3">
      <c r="A36" t="s">
        <v>340</v>
      </c>
    </row>
    <row r="37" spans="1:6" x14ac:dyDescent="0.3">
      <c r="F37" s="47" t="s">
        <v>333</v>
      </c>
    </row>
    <row r="38" spans="1:6" x14ac:dyDescent="0.3">
      <c r="A38" t="s">
        <v>341</v>
      </c>
    </row>
    <row r="39" spans="1:6" x14ac:dyDescent="0.3">
      <c r="A39" s="17" t="s">
        <v>12</v>
      </c>
      <c r="E39" s="23" t="s">
        <v>22</v>
      </c>
    </row>
    <row r="40" spans="1:6" x14ac:dyDescent="0.3">
      <c r="A40" s="17" t="s">
        <v>13</v>
      </c>
      <c r="E40" s="23" t="s">
        <v>22</v>
      </c>
      <c r="F40" s="47" t="s">
        <v>333</v>
      </c>
    </row>
    <row r="42" spans="1:6" x14ac:dyDescent="0.3">
      <c r="A42" t="s">
        <v>339</v>
      </c>
    </row>
    <row r="43" spans="1:6" x14ac:dyDescent="0.3">
      <c r="A43" s="17" t="s">
        <v>291</v>
      </c>
    </row>
    <row r="44" spans="1:6" x14ac:dyDescent="0.3">
      <c r="A44" s="17" t="s">
        <v>14</v>
      </c>
      <c r="E44" s="23" t="s">
        <v>23</v>
      </c>
    </row>
    <row r="45" spans="1:6" x14ac:dyDescent="0.3">
      <c r="A45" s="17" t="s">
        <v>15</v>
      </c>
      <c r="E45" s="23" t="s">
        <v>24</v>
      </c>
    </row>
    <row r="46" spans="1:6" x14ac:dyDescent="0.3">
      <c r="A46" s="17" t="s">
        <v>16</v>
      </c>
      <c r="E46" s="23" t="s">
        <v>25</v>
      </c>
    </row>
    <row r="47" spans="1:6" x14ac:dyDescent="0.3">
      <c r="A47" s="17" t="s">
        <v>19</v>
      </c>
      <c r="E47" s="23" t="s">
        <v>22</v>
      </c>
    </row>
    <row r="48" spans="1:6" x14ac:dyDescent="0.3">
      <c r="A48" s="17" t="s">
        <v>26</v>
      </c>
      <c r="E48" s="23" t="s">
        <v>22</v>
      </c>
    </row>
    <row r="49" spans="1:5" x14ac:dyDescent="0.3">
      <c r="A49" s="17" t="s">
        <v>27</v>
      </c>
      <c r="E49" s="23" t="s">
        <v>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BE81B-767F-2341-BD1E-1297725F4D76}">
  <sheetPr>
    <tabColor theme="5" tint="0.39997558519241921"/>
  </sheetPr>
  <dimension ref="A1:J56"/>
  <sheetViews>
    <sheetView zoomScale="115" zoomScaleNormal="115" workbookViewId="0"/>
  </sheetViews>
  <sheetFormatPr defaultColWidth="11.19921875" defaultRowHeight="15.6" x14ac:dyDescent="0.3"/>
  <sheetData>
    <row r="1" spans="1:1" x14ac:dyDescent="0.3">
      <c r="A1" s="49" t="s">
        <v>355</v>
      </c>
    </row>
    <row r="3" spans="1:1" hidden="1" x14ac:dyDescent="0.3"/>
    <row r="4" spans="1:1" hidden="1" x14ac:dyDescent="0.3"/>
    <row r="5" spans="1:1" hidden="1" x14ac:dyDescent="0.3"/>
    <row r="6" spans="1:1" hidden="1" x14ac:dyDescent="0.3"/>
    <row r="7" spans="1:1" hidden="1" x14ac:dyDescent="0.3"/>
    <row r="8" spans="1:1" hidden="1" x14ac:dyDescent="0.3"/>
    <row r="9" spans="1:1" hidden="1" x14ac:dyDescent="0.3"/>
    <row r="10" spans="1:1" hidden="1" x14ac:dyDescent="0.3"/>
    <row r="12" spans="1:1" x14ac:dyDescent="0.3">
      <c r="A12" t="s">
        <v>28</v>
      </c>
    </row>
    <row r="13" spans="1:1" x14ac:dyDescent="0.3">
      <c r="A13" t="s">
        <v>31</v>
      </c>
    </row>
    <row r="14" spans="1:1" x14ac:dyDescent="0.3">
      <c r="A14" t="s">
        <v>29</v>
      </c>
    </row>
    <row r="15" spans="1:1" x14ac:dyDescent="0.3">
      <c r="A15" t="s">
        <v>356</v>
      </c>
    </row>
    <row r="16" spans="1:1" x14ac:dyDescent="0.3">
      <c r="A16" t="s">
        <v>357</v>
      </c>
    </row>
    <row r="17" spans="1:1" x14ac:dyDescent="0.3">
      <c r="A17" t="s">
        <v>358</v>
      </c>
    </row>
    <row r="18" spans="1:1" x14ac:dyDescent="0.3">
      <c r="A18" t="s">
        <v>30</v>
      </c>
    </row>
    <row r="21" spans="1:1" x14ac:dyDescent="0.3">
      <c r="A21" t="s">
        <v>359</v>
      </c>
    </row>
    <row r="24" spans="1:1" hidden="1" x14ac:dyDescent="0.3"/>
    <row r="25" spans="1:1" hidden="1" x14ac:dyDescent="0.3"/>
    <row r="26" spans="1:1" hidden="1" x14ac:dyDescent="0.3"/>
    <row r="27" spans="1:1" hidden="1" x14ac:dyDescent="0.3"/>
    <row r="28" spans="1:1" hidden="1" x14ac:dyDescent="0.3"/>
    <row r="29" spans="1:1" hidden="1" x14ac:dyDescent="0.3"/>
    <row r="30" spans="1:1" hidden="1" x14ac:dyDescent="0.3"/>
    <row r="31" spans="1:1" hidden="1" x14ac:dyDescent="0.3"/>
    <row r="32" spans="1:1" hidden="1" x14ac:dyDescent="0.3"/>
    <row r="33" spans="1:10" hidden="1" x14ac:dyDescent="0.3"/>
    <row r="34" spans="1:10" x14ac:dyDescent="0.3">
      <c r="A34" t="s">
        <v>360</v>
      </c>
    </row>
    <row r="35" spans="1:10" x14ac:dyDescent="0.3">
      <c r="A35" t="s">
        <v>46</v>
      </c>
      <c r="J35" s="47" t="s">
        <v>333</v>
      </c>
    </row>
    <row r="36" spans="1:10" x14ac:dyDescent="0.3">
      <c r="A36" t="s">
        <v>32</v>
      </c>
    </row>
    <row r="37" spans="1:10" x14ac:dyDescent="0.3">
      <c r="A37" t="s">
        <v>361</v>
      </c>
      <c r="J37" s="47" t="s">
        <v>333</v>
      </c>
    </row>
    <row r="39" spans="1:10" x14ac:dyDescent="0.3">
      <c r="A39" t="s">
        <v>33</v>
      </c>
    </row>
    <row r="42" spans="1:10" hidden="1" x14ac:dyDescent="0.3"/>
    <row r="43" spans="1:10" hidden="1" x14ac:dyDescent="0.3"/>
    <row r="44" spans="1:10" hidden="1" x14ac:dyDescent="0.3"/>
    <row r="45" spans="1:10" hidden="1" x14ac:dyDescent="0.3"/>
    <row r="46" spans="1:10" hidden="1" x14ac:dyDescent="0.3"/>
    <row r="47" spans="1:10" hidden="1" x14ac:dyDescent="0.3"/>
    <row r="48" spans="1:10" hidden="1" x14ac:dyDescent="0.3"/>
    <row r="49" spans="1:1" hidden="1" x14ac:dyDescent="0.3"/>
    <row r="50" spans="1:1" hidden="1" x14ac:dyDescent="0.3"/>
    <row r="51" spans="1:1" hidden="1" x14ac:dyDescent="0.3"/>
    <row r="52" spans="1:1" hidden="1" x14ac:dyDescent="0.3"/>
    <row r="53" spans="1:1" hidden="1" x14ac:dyDescent="0.3"/>
    <row r="54" spans="1:1" hidden="1" x14ac:dyDescent="0.3"/>
    <row r="55" spans="1:1" hidden="1" x14ac:dyDescent="0.3"/>
    <row r="56" spans="1:1" x14ac:dyDescent="0.3">
      <c r="A56" t="s">
        <v>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01759-CBA7-4C4D-9A9F-4569D50920EB}">
  <sheetPr>
    <tabColor theme="9" tint="0.59999389629810485"/>
  </sheetPr>
  <dimension ref="A1:K59"/>
  <sheetViews>
    <sheetView zoomScale="115" zoomScaleNormal="115" workbookViewId="0"/>
  </sheetViews>
  <sheetFormatPr defaultColWidth="11.19921875" defaultRowHeight="15.6" x14ac:dyDescent="0.3"/>
  <sheetData>
    <row r="1" spans="1:2" x14ac:dyDescent="0.3">
      <c r="A1" s="49" t="s">
        <v>473</v>
      </c>
    </row>
    <row r="3" spans="1:2" x14ac:dyDescent="0.3">
      <c r="A3" s="49" t="s">
        <v>345</v>
      </c>
    </row>
    <row r="4" spans="1:2" x14ac:dyDescent="0.3">
      <c r="A4" t="s">
        <v>474</v>
      </c>
    </row>
    <row r="5" spans="1:2" x14ac:dyDescent="0.3">
      <c r="A5" t="s">
        <v>475</v>
      </c>
    </row>
    <row r="6" spans="1:2" x14ac:dyDescent="0.3">
      <c r="A6" t="s">
        <v>476</v>
      </c>
    </row>
    <row r="8" spans="1:2" x14ac:dyDescent="0.3">
      <c r="A8" s="49" t="s">
        <v>305</v>
      </c>
    </row>
    <row r="9" spans="1:2" x14ac:dyDescent="0.3">
      <c r="B9" t="s">
        <v>472</v>
      </c>
    </row>
    <row r="10" spans="1:2" x14ac:dyDescent="0.3">
      <c r="B10" t="s">
        <v>471</v>
      </c>
    </row>
    <row r="12" spans="1:2" x14ac:dyDescent="0.3">
      <c r="A12" t="s">
        <v>28</v>
      </c>
    </row>
    <row r="13" spans="1:2" x14ac:dyDescent="0.3">
      <c r="A13" t="s">
        <v>31</v>
      </c>
    </row>
    <row r="14" spans="1:2" x14ac:dyDescent="0.3">
      <c r="A14" t="s">
        <v>29</v>
      </c>
    </row>
    <row r="15" spans="1:2" x14ac:dyDescent="0.3">
      <c r="A15" t="s">
        <v>356</v>
      </c>
    </row>
    <row r="16" spans="1:2" x14ac:dyDescent="0.3">
      <c r="A16" t="s">
        <v>357</v>
      </c>
    </row>
    <row r="17" spans="1:7" x14ac:dyDescent="0.3">
      <c r="A17" t="s">
        <v>358</v>
      </c>
    </row>
    <row r="18" spans="1:7" x14ac:dyDescent="0.3">
      <c r="A18" t="s">
        <v>30</v>
      </c>
    </row>
    <row r="21" spans="1:7" x14ac:dyDescent="0.3">
      <c r="A21" t="s">
        <v>359</v>
      </c>
    </row>
    <row r="23" spans="1:7" x14ac:dyDescent="0.3">
      <c r="A23" s="17" t="s">
        <v>35</v>
      </c>
    </row>
    <row r="24" spans="1:7" x14ac:dyDescent="0.3">
      <c r="A24" s="17" t="s">
        <v>36</v>
      </c>
      <c r="G24" s="23" t="s">
        <v>53</v>
      </c>
    </row>
    <row r="25" spans="1:7" x14ac:dyDescent="0.3">
      <c r="A25" s="17" t="s">
        <v>37</v>
      </c>
      <c r="G25" s="23" t="s">
        <v>53</v>
      </c>
    </row>
    <row r="26" spans="1:7" x14ac:dyDescent="0.3">
      <c r="A26" s="17" t="s">
        <v>38</v>
      </c>
      <c r="G26" s="23" t="s">
        <v>53</v>
      </c>
    </row>
    <row r="27" spans="1:7" x14ac:dyDescent="0.3">
      <c r="A27" s="17" t="s">
        <v>39</v>
      </c>
      <c r="G27" s="23" t="s">
        <v>53</v>
      </c>
    </row>
    <row r="28" spans="1:7" x14ac:dyDescent="0.3">
      <c r="A28" s="17" t="s">
        <v>40</v>
      </c>
      <c r="G28" s="23" t="s">
        <v>53</v>
      </c>
    </row>
    <row r="29" spans="1:7" x14ac:dyDescent="0.3">
      <c r="A29" s="17" t="s">
        <v>41</v>
      </c>
      <c r="G29" s="23"/>
    </row>
    <row r="30" spans="1:7" x14ac:dyDescent="0.3">
      <c r="A30" s="17" t="s">
        <v>42</v>
      </c>
      <c r="G30" s="23" t="s">
        <v>54</v>
      </c>
    </row>
    <row r="31" spans="1:7" x14ac:dyDescent="0.3">
      <c r="A31" s="17" t="s">
        <v>43</v>
      </c>
      <c r="G31" s="23" t="s">
        <v>54</v>
      </c>
    </row>
    <row r="34" spans="1:11" x14ac:dyDescent="0.3">
      <c r="A34" t="s">
        <v>360</v>
      </c>
    </row>
    <row r="35" spans="1:11" x14ac:dyDescent="0.3">
      <c r="A35" t="s">
        <v>46</v>
      </c>
      <c r="J35" s="47" t="s">
        <v>333</v>
      </c>
    </row>
    <row r="36" spans="1:11" x14ac:dyDescent="0.3">
      <c r="A36" t="s">
        <v>32</v>
      </c>
    </row>
    <row r="37" spans="1:11" x14ac:dyDescent="0.3">
      <c r="A37" t="s">
        <v>361</v>
      </c>
      <c r="J37" s="47" t="s">
        <v>333</v>
      </c>
    </row>
    <row r="39" spans="1:11" x14ac:dyDescent="0.3">
      <c r="A39" t="s">
        <v>33</v>
      </c>
    </row>
    <row r="41" spans="1:11" x14ac:dyDescent="0.3">
      <c r="A41" s="17" t="s">
        <v>44</v>
      </c>
    </row>
    <row r="42" spans="1:11" x14ac:dyDescent="0.3">
      <c r="A42" s="17" t="s">
        <v>45</v>
      </c>
      <c r="K42" s="23" t="s">
        <v>56</v>
      </c>
    </row>
    <row r="43" spans="1:11" x14ac:dyDescent="0.3">
      <c r="A43" s="17" t="s">
        <v>362</v>
      </c>
    </row>
    <row r="44" spans="1:11" x14ac:dyDescent="0.3">
      <c r="A44" s="17" t="s">
        <v>47</v>
      </c>
      <c r="K44" s="23" t="s">
        <v>55</v>
      </c>
    </row>
    <row r="45" spans="1:11" x14ac:dyDescent="0.3">
      <c r="A45" s="17" t="s">
        <v>48</v>
      </c>
      <c r="K45" s="23" t="s">
        <v>57</v>
      </c>
    </row>
    <row r="46" spans="1:11" x14ac:dyDescent="0.3">
      <c r="A46" s="17" t="s">
        <v>49</v>
      </c>
      <c r="K46" s="23" t="s">
        <v>57</v>
      </c>
    </row>
    <row r="47" spans="1:11" x14ac:dyDescent="0.3">
      <c r="A47" s="17" t="s">
        <v>363</v>
      </c>
    </row>
    <row r="48" spans="1:11" x14ac:dyDescent="0.3">
      <c r="A48" s="17" t="s">
        <v>364</v>
      </c>
      <c r="K48" s="23" t="s">
        <v>58</v>
      </c>
    </row>
    <row r="50" spans="1:11" x14ac:dyDescent="0.3">
      <c r="A50" s="17" t="s">
        <v>50</v>
      </c>
    </row>
    <row r="51" spans="1:11" x14ac:dyDescent="0.3">
      <c r="A51" s="17" t="s">
        <v>51</v>
      </c>
      <c r="K51" s="23" t="s">
        <v>58</v>
      </c>
    </row>
    <row r="52" spans="1:11" x14ac:dyDescent="0.3">
      <c r="A52" s="17" t="s">
        <v>52</v>
      </c>
      <c r="K52" s="23" t="s">
        <v>58</v>
      </c>
    </row>
    <row r="53" spans="1:11" x14ac:dyDescent="0.3">
      <c r="A53" s="17" t="s">
        <v>59</v>
      </c>
      <c r="K53" s="23" t="s">
        <v>60</v>
      </c>
    </row>
    <row r="56" spans="1:11" x14ac:dyDescent="0.3">
      <c r="A56" t="s">
        <v>34</v>
      </c>
    </row>
    <row r="58" spans="1:11" x14ac:dyDescent="0.3">
      <c r="A58" s="17" t="s">
        <v>61</v>
      </c>
      <c r="K58" s="23" t="s">
        <v>62</v>
      </c>
    </row>
    <row r="59" spans="1:11" x14ac:dyDescent="0.3">
      <c r="A59" s="17" t="s">
        <v>365</v>
      </c>
      <c r="K59" s="23" t="s">
        <v>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F50CF-9D85-8D4F-9DC8-600A40903842}">
  <sheetPr>
    <tabColor theme="5" tint="0.39997558519241921"/>
  </sheetPr>
  <dimension ref="A1:AP75"/>
  <sheetViews>
    <sheetView zoomScale="115" zoomScaleNormal="115" workbookViewId="0"/>
  </sheetViews>
  <sheetFormatPr defaultColWidth="11.19921875" defaultRowHeight="15.6" x14ac:dyDescent="0.3"/>
  <cols>
    <col min="1" max="1" width="26.5" customWidth="1"/>
    <col min="2" max="2" width="12.5" bestFit="1" customWidth="1"/>
    <col min="3" max="3" width="16" bestFit="1" customWidth="1"/>
    <col min="4" max="4" width="16.796875" bestFit="1" customWidth="1"/>
    <col min="5" max="5" width="20.69921875" bestFit="1" customWidth="1"/>
    <col min="6" max="6" width="18.69921875" bestFit="1" customWidth="1"/>
    <col min="7" max="7" width="12.5" bestFit="1" customWidth="1"/>
    <col min="8" max="8" width="16" bestFit="1" customWidth="1"/>
    <col min="9" max="9" width="18.69921875" bestFit="1" customWidth="1"/>
    <col min="10" max="10" width="16" bestFit="1" customWidth="1"/>
    <col min="11" max="11" width="12.5" bestFit="1" customWidth="1"/>
    <col min="12" max="12" width="16" customWidth="1"/>
    <col min="13" max="29" width="12.5" bestFit="1" customWidth="1"/>
    <col min="30" max="44" width="11.5" bestFit="1" customWidth="1"/>
    <col min="45" max="45" width="10" bestFit="1" customWidth="1"/>
    <col min="46" max="46" width="6.19921875" bestFit="1" customWidth="1"/>
  </cols>
  <sheetData>
    <row r="1" spans="1:42" x14ac:dyDescent="0.3">
      <c r="A1" s="49" t="s">
        <v>354</v>
      </c>
    </row>
    <row r="4" spans="1:42" hidden="1" x14ac:dyDescent="0.3"/>
    <row r="5" spans="1:42" hidden="1" x14ac:dyDescent="0.3"/>
    <row r="6" spans="1:42" hidden="1" x14ac:dyDescent="0.3"/>
    <row r="7" spans="1:42" hidden="1" x14ac:dyDescent="0.3"/>
    <row r="8" spans="1:42" hidden="1" x14ac:dyDescent="0.3"/>
    <row r="9" spans="1:42" hidden="1" x14ac:dyDescent="0.3"/>
    <row r="10" spans="1:42" x14ac:dyDescent="0.3">
      <c r="A10" t="s">
        <v>64</v>
      </c>
    </row>
    <row r="11" spans="1:42" x14ac:dyDescent="0.3">
      <c r="A11" t="s">
        <v>366</v>
      </c>
      <c r="C11" s="2"/>
    </row>
    <row r="12" spans="1:42" x14ac:dyDescent="0.3">
      <c r="C12" s="2"/>
    </row>
    <row r="13" spans="1:42" x14ac:dyDescent="0.3">
      <c r="A13" t="s">
        <v>65</v>
      </c>
      <c r="B13">
        <v>1</v>
      </c>
      <c r="C13">
        <v>2</v>
      </c>
      <c r="D13">
        <v>3</v>
      </c>
      <c r="E13">
        <v>4</v>
      </c>
      <c r="F13">
        <v>5</v>
      </c>
      <c r="G13">
        <v>6</v>
      </c>
      <c r="H13">
        <v>7</v>
      </c>
      <c r="I13">
        <v>8</v>
      </c>
      <c r="J13">
        <v>9</v>
      </c>
      <c r="K13">
        <v>10</v>
      </c>
      <c r="L13">
        <v>11</v>
      </c>
      <c r="M13">
        <v>12</v>
      </c>
      <c r="N13">
        <v>13</v>
      </c>
      <c r="O13">
        <v>14</v>
      </c>
      <c r="P13">
        <v>15</v>
      </c>
      <c r="Q13">
        <v>16</v>
      </c>
      <c r="R13">
        <v>17</v>
      </c>
      <c r="S13">
        <v>18</v>
      </c>
      <c r="T13">
        <v>19</v>
      </c>
      <c r="U13">
        <v>20</v>
      </c>
      <c r="V13">
        <v>21</v>
      </c>
      <c r="W13">
        <v>22</v>
      </c>
      <c r="X13">
        <v>23</v>
      </c>
      <c r="Y13">
        <v>24</v>
      </c>
      <c r="Z13">
        <v>25</v>
      </c>
      <c r="AA13">
        <v>26</v>
      </c>
      <c r="AB13">
        <v>27</v>
      </c>
      <c r="AC13">
        <v>28</v>
      </c>
      <c r="AD13">
        <v>29</v>
      </c>
      <c r="AE13">
        <v>30</v>
      </c>
      <c r="AF13">
        <v>31</v>
      </c>
      <c r="AG13">
        <v>32</v>
      </c>
      <c r="AH13">
        <v>33</v>
      </c>
      <c r="AI13">
        <v>34</v>
      </c>
      <c r="AJ13">
        <v>35</v>
      </c>
      <c r="AK13">
        <v>36</v>
      </c>
      <c r="AL13">
        <v>37</v>
      </c>
      <c r="AM13">
        <v>38</v>
      </c>
      <c r="AN13">
        <v>39</v>
      </c>
      <c r="AO13">
        <v>40</v>
      </c>
      <c r="AP13" s="3" t="s">
        <v>66</v>
      </c>
    </row>
    <row r="14" spans="1:42" x14ac:dyDescent="0.3">
      <c r="A14" t="s">
        <v>67</v>
      </c>
      <c r="B14" s="2">
        <v>37386865.925427049</v>
      </c>
      <c r="C14" s="2">
        <v>35205316.407314584</v>
      </c>
      <c r="D14" s="2">
        <v>33221741.831401598</v>
      </c>
      <c r="E14" s="2">
        <v>31402675.619055025</v>
      </c>
      <c r="F14" s="2">
        <v>29722281.318950683</v>
      </c>
      <c r="G14" s="2">
        <v>28160229.803080063</v>
      </c>
      <c r="H14" s="2">
        <v>26700260.082529213</v>
      </c>
      <c r="I14" s="2">
        <v>25329177.132302251</v>
      </c>
      <c r="J14" s="2">
        <v>24036137.581141837</v>
      </c>
      <c r="K14" s="2">
        <v>22812130.052792687</v>
      </c>
      <c r="L14" s="2">
        <v>21649590.199863214</v>
      </c>
      <c r="M14" s="2">
        <v>20542110.869238917</v>
      </c>
      <c r="N14" s="2">
        <v>19484220.699304763</v>
      </c>
      <c r="O14" s="2">
        <v>18471212.760394745</v>
      </c>
      <c r="P14" s="2">
        <v>17499010.340483699</v>
      </c>
      <c r="Q14" s="2">
        <v>16564060.678350952</v>
      </c>
      <c r="R14" s="2">
        <v>15663249.985565476</v>
      </c>
      <c r="S14" s="2">
        <v>14793834.869955935</v>
      </c>
      <c r="T14" s="2">
        <v>13953386.52769622</v>
      </c>
      <c r="U14" s="2">
        <v>13139744.971971355</v>
      </c>
      <c r="V14" s="2">
        <v>12350981.22140367</v>
      </c>
      <c r="W14" s="2">
        <v>11585365.853658535</v>
      </c>
      <c r="X14" s="2">
        <v>10841342.688496005</v>
      </c>
      <c r="Y14" s="2">
        <v>10117506.634306453</v>
      </c>
      <c r="Z14" s="2">
        <v>9412584.9369175471</v>
      </c>
      <c r="AA14" s="2">
        <v>8725421.2262515575</v>
      </c>
      <c r="AB14" s="2">
        <v>8054961.8774862112</v>
      </c>
      <c r="AC14" s="2">
        <v>7400244.297602783</v>
      </c>
      <c r="AD14" s="2">
        <v>6760386.8220867384</v>
      </c>
      <c r="AE14" s="2">
        <v>6134579.9648787677</v>
      </c>
      <c r="AF14" s="2">
        <v>5522078.811033125</v>
      </c>
      <c r="AG14" s="2">
        <v>4922196.3786140764</v>
      </c>
      <c r="AH14" s="2">
        <v>4334297.8061844129</v>
      </c>
      <c r="AI14" s="2">
        <v>3757795.2463653656</v>
      </c>
      <c r="AJ14" s="2">
        <v>3192143.3655670113</v>
      </c>
      <c r="AK14" s="2">
        <v>2636835.366025093</v>
      </c>
      <c r="AL14" s="2">
        <v>2091399.4594511774</v>
      </c>
      <c r="AM14" s="2">
        <v>1555395.7324704763</v>
      </c>
      <c r="AN14" s="2">
        <v>1028413.3530275624</v>
      </c>
      <c r="AO14" s="2">
        <v>510068.0744347673</v>
      </c>
      <c r="AP14" s="2">
        <v>0</v>
      </c>
    </row>
    <row r="15" spans="1:42" s="2" customFormat="1" x14ac:dyDescent="0.3"/>
    <row r="16" spans="1:42" x14ac:dyDescent="0.3">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row>
    <row r="17" spans="1:12" x14ac:dyDescent="0.3">
      <c r="B17" s="2"/>
      <c r="C17" s="2"/>
    </row>
    <row r="18" spans="1:12" x14ac:dyDescent="0.3">
      <c r="A18" t="s">
        <v>368</v>
      </c>
      <c r="C18" s="2"/>
    </row>
    <row r="19" spans="1:12" x14ac:dyDescent="0.3">
      <c r="C19" s="2"/>
    </row>
    <row r="20" spans="1:12" x14ac:dyDescent="0.3">
      <c r="A20" t="s">
        <v>68</v>
      </c>
      <c r="C20" s="3" t="s">
        <v>79</v>
      </c>
      <c r="D20" s="35"/>
    </row>
    <row r="21" spans="1:12" x14ac:dyDescent="0.3">
      <c r="A21" t="s">
        <v>69</v>
      </c>
      <c r="C21" s="3" t="s">
        <v>80</v>
      </c>
      <c r="D21" s="42"/>
    </row>
    <row r="22" spans="1:12" x14ac:dyDescent="0.3">
      <c r="A22" t="s">
        <v>70</v>
      </c>
      <c r="C22" s="3" t="s">
        <v>83</v>
      </c>
      <c r="D22" s="42"/>
    </row>
    <row r="23" spans="1:12" x14ac:dyDescent="0.3">
      <c r="C23" s="2"/>
    </row>
    <row r="24" spans="1:12" x14ac:dyDescent="0.3">
      <c r="A24" t="s">
        <v>292</v>
      </c>
      <c r="C24" s="2"/>
    </row>
    <row r="25" spans="1:12" x14ac:dyDescent="0.3">
      <c r="C25" s="2"/>
    </row>
    <row r="26" spans="1:12" x14ac:dyDescent="0.3">
      <c r="A26" t="s">
        <v>374</v>
      </c>
      <c r="C26" s="2"/>
      <c r="D26" s="3" t="s">
        <v>103</v>
      </c>
      <c r="E26" s="52">
        <v>5</v>
      </c>
    </row>
    <row r="27" spans="1:12" x14ac:dyDescent="0.3">
      <c r="C27" s="2"/>
      <c r="D27" s="3" t="s">
        <v>104</v>
      </c>
      <c r="E27" s="52">
        <v>75</v>
      </c>
      <c r="L27" s="7"/>
    </row>
    <row r="28" spans="1:12" x14ac:dyDescent="0.3">
      <c r="C28" s="2"/>
    </row>
    <row r="29" spans="1:12" x14ac:dyDescent="0.3">
      <c r="A29" t="s">
        <v>76</v>
      </c>
      <c r="C29" s="2"/>
    </row>
    <row r="30" spans="1:12" x14ac:dyDescent="0.3">
      <c r="C30" s="2"/>
    </row>
    <row r="31" spans="1:12" x14ac:dyDescent="0.3">
      <c r="E31" t="s">
        <v>84</v>
      </c>
      <c r="F31" s="35"/>
    </row>
    <row r="33" spans="1:6" x14ac:dyDescent="0.3">
      <c r="E33" t="s">
        <v>85</v>
      </c>
      <c r="F33" s="36"/>
    </row>
    <row r="34" spans="1:6" x14ac:dyDescent="0.3">
      <c r="E34" t="s">
        <v>88</v>
      </c>
      <c r="F34" s="36"/>
    </row>
    <row r="35" spans="1:6" x14ac:dyDescent="0.3">
      <c r="E35" t="s">
        <v>331</v>
      </c>
      <c r="F35" s="30"/>
    </row>
    <row r="36" spans="1:6" x14ac:dyDescent="0.3">
      <c r="C36" s="2"/>
    </row>
    <row r="37" spans="1:6" x14ac:dyDescent="0.3">
      <c r="C37" s="2"/>
    </row>
    <row r="38" spans="1:6" x14ac:dyDescent="0.3">
      <c r="A38" t="s">
        <v>370</v>
      </c>
      <c r="C38" s="2"/>
    </row>
    <row r="39" spans="1:6" x14ac:dyDescent="0.3">
      <c r="A39" t="s">
        <v>72</v>
      </c>
      <c r="B39" s="52" t="s">
        <v>71</v>
      </c>
      <c r="C39" s="53" t="s">
        <v>73</v>
      </c>
    </row>
    <row r="40" spans="1:6" x14ac:dyDescent="0.3">
      <c r="A40" t="s">
        <v>74</v>
      </c>
      <c r="B40" s="52">
        <v>4</v>
      </c>
      <c r="C40" s="52">
        <v>19</v>
      </c>
    </row>
    <row r="41" spans="1:6" x14ac:dyDescent="0.3">
      <c r="A41" t="s">
        <v>75</v>
      </c>
      <c r="B41" s="52">
        <v>15</v>
      </c>
      <c r="C41" s="52">
        <v>250</v>
      </c>
    </row>
    <row r="43" spans="1:6" x14ac:dyDescent="0.3">
      <c r="C43" s="2"/>
    </row>
    <row r="44" spans="1:6" x14ac:dyDescent="0.3">
      <c r="A44" t="s">
        <v>300</v>
      </c>
      <c r="C44" s="2"/>
    </row>
    <row r="45" spans="1:6" x14ac:dyDescent="0.3">
      <c r="A45" t="s">
        <v>91</v>
      </c>
      <c r="C45" s="2"/>
    </row>
    <row r="46" spans="1:6" x14ac:dyDescent="0.3">
      <c r="A46" t="s">
        <v>371</v>
      </c>
      <c r="C46" s="2"/>
    </row>
    <row r="47" spans="1:6" x14ac:dyDescent="0.3">
      <c r="C47" s="2"/>
    </row>
    <row r="48" spans="1:6" x14ac:dyDescent="0.3">
      <c r="A48" s="2"/>
      <c r="C48" s="2"/>
    </row>
    <row r="49" spans="1:3" x14ac:dyDescent="0.3">
      <c r="C49" s="2"/>
    </row>
    <row r="50" spans="1:3" x14ac:dyDescent="0.3">
      <c r="A50" s="2" t="s">
        <v>302</v>
      </c>
      <c r="C50" s="2"/>
    </row>
    <row r="51" spans="1:3" x14ac:dyDescent="0.3">
      <c r="A51" s="2" t="s">
        <v>303</v>
      </c>
      <c r="C51" s="2"/>
    </row>
    <row r="52" spans="1:3" x14ac:dyDescent="0.3">
      <c r="A52" s="2" t="s">
        <v>301</v>
      </c>
      <c r="C52" s="2"/>
    </row>
    <row r="53" spans="1:3" x14ac:dyDescent="0.3">
      <c r="C53" s="2"/>
    </row>
    <row r="54" spans="1:3" x14ac:dyDescent="0.3">
      <c r="C54" s="2"/>
    </row>
    <row r="55" spans="1:3" x14ac:dyDescent="0.3">
      <c r="A55" s="2"/>
      <c r="C55" s="2"/>
    </row>
    <row r="56" spans="1:3" x14ac:dyDescent="0.3">
      <c r="A56" s="2"/>
      <c r="C56" s="2"/>
    </row>
    <row r="57" spans="1:3" x14ac:dyDescent="0.3">
      <c r="A57" s="2"/>
      <c r="C57" s="2"/>
    </row>
    <row r="58" spans="1:3" x14ac:dyDescent="0.3">
      <c r="A58" s="2"/>
      <c r="C58" s="2"/>
    </row>
    <row r="59" spans="1:3" x14ac:dyDescent="0.3">
      <c r="C59" s="2"/>
    </row>
    <row r="60" spans="1:3" x14ac:dyDescent="0.3">
      <c r="C60" s="2"/>
    </row>
    <row r="61" spans="1:3" x14ac:dyDescent="0.3">
      <c r="C61" s="2"/>
    </row>
    <row r="62" spans="1:3" x14ac:dyDescent="0.3">
      <c r="C62" s="2"/>
    </row>
    <row r="63" spans="1:3" x14ac:dyDescent="0.3">
      <c r="C63" s="2"/>
    </row>
    <row r="64" spans="1:3" x14ac:dyDescent="0.3">
      <c r="C64" s="2"/>
    </row>
    <row r="65" spans="1:6" x14ac:dyDescent="0.3">
      <c r="A65" t="s">
        <v>304</v>
      </c>
      <c r="C65" s="2"/>
      <c r="F65" s="47" t="s">
        <v>333</v>
      </c>
    </row>
    <row r="66" spans="1:6" x14ac:dyDescent="0.3">
      <c r="A66" t="s">
        <v>94</v>
      </c>
      <c r="B66" t="s">
        <v>96</v>
      </c>
      <c r="C66" s="2" t="s">
        <v>97</v>
      </c>
      <c r="D66" t="s">
        <v>98</v>
      </c>
    </row>
    <row r="67" spans="1:6" x14ac:dyDescent="0.3">
      <c r="A67" t="s">
        <v>99</v>
      </c>
      <c r="B67" s="20">
        <v>1</v>
      </c>
      <c r="C67" s="20">
        <v>2</v>
      </c>
      <c r="D67" s="20">
        <v>1</v>
      </c>
    </row>
    <row r="68" spans="1:6" x14ac:dyDescent="0.3">
      <c r="A68" t="s">
        <v>100</v>
      </c>
      <c r="B68" s="20">
        <v>2</v>
      </c>
      <c r="C68" s="20">
        <v>1</v>
      </c>
      <c r="D68" s="20">
        <v>1</v>
      </c>
    </row>
    <row r="69" spans="1:6" x14ac:dyDescent="0.3">
      <c r="C69" s="2"/>
    </row>
    <row r="70" spans="1:6" x14ac:dyDescent="0.3">
      <c r="A70" t="s">
        <v>95</v>
      </c>
      <c r="B70" t="s">
        <v>101</v>
      </c>
      <c r="C70" s="46">
        <f>(D67*C68-D68*C67)/(B67*C68-B68*C67)</f>
        <v>0.33333333333333331</v>
      </c>
      <c r="D70" t="s">
        <v>106</v>
      </c>
    </row>
    <row r="71" spans="1:6" x14ac:dyDescent="0.3">
      <c r="B71" t="s">
        <v>102</v>
      </c>
      <c r="C71" s="46">
        <f>(B67*D68-B68*D67)/(B67*C68-B68*C67)</f>
        <v>0.33333333333333331</v>
      </c>
      <c r="D71" t="s">
        <v>107</v>
      </c>
      <c r="F71" s="7"/>
    </row>
    <row r="72" spans="1:6" x14ac:dyDescent="0.3">
      <c r="C72" s="2"/>
    </row>
    <row r="73" spans="1:6" x14ac:dyDescent="0.3">
      <c r="C73" s="8">
        <f>1-C70-C71</f>
        <v>0.33333333333333343</v>
      </c>
      <c r="D73" t="s">
        <v>108</v>
      </c>
    </row>
    <row r="74" spans="1:6" x14ac:dyDescent="0.3">
      <c r="C74" s="2"/>
    </row>
    <row r="75" spans="1:6" x14ac:dyDescent="0.3">
      <c r="C75" s="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7E006-0E4A-EE4D-A4A6-4F2C37352FB4}">
  <sheetPr>
    <tabColor theme="9" tint="0.59999389629810485"/>
  </sheetPr>
  <dimension ref="A1:AP75"/>
  <sheetViews>
    <sheetView zoomScale="115" zoomScaleNormal="115" workbookViewId="0"/>
  </sheetViews>
  <sheetFormatPr defaultColWidth="11.19921875" defaultRowHeight="15.6" x14ac:dyDescent="0.3"/>
  <cols>
    <col min="1" max="1" width="26.5" customWidth="1"/>
    <col min="2" max="2" width="12.5" bestFit="1" customWidth="1"/>
    <col min="3" max="3" width="16" bestFit="1" customWidth="1"/>
    <col min="4" max="4" width="16.796875" bestFit="1" customWidth="1"/>
    <col min="5" max="5" width="20.69921875" bestFit="1" customWidth="1"/>
    <col min="6" max="6" width="18.69921875" bestFit="1" customWidth="1"/>
    <col min="7" max="7" width="12.5" bestFit="1" customWidth="1"/>
    <col min="8" max="8" width="16" bestFit="1" customWidth="1"/>
    <col min="9" max="9" width="18.69921875" bestFit="1" customWidth="1"/>
    <col min="10" max="10" width="16" bestFit="1" customWidth="1"/>
    <col min="11" max="11" width="12.5" bestFit="1" customWidth="1"/>
    <col min="12" max="12" width="16" customWidth="1"/>
    <col min="13" max="29" width="12.5" bestFit="1" customWidth="1"/>
    <col min="30" max="44" width="11.5" bestFit="1" customWidth="1"/>
    <col min="45" max="45" width="10" bestFit="1" customWidth="1"/>
    <col min="46" max="46" width="6.19921875" bestFit="1" customWidth="1"/>
  </cols>
  <sheetData>
    <row r="1" spans="1:42" x14ac:dyDescent="0.3">
      <c r="A1" s="49" t="s">
        <v>477</v>
      </c>
    </row>
    <row r="3" spans="1:42" x14ac:dyDescent="0.3">
      <c r="A3" s="49" t="s">
        <v>345</v>
      </c>
    </row>
    <row r="4" spans="1:42" x14ac:dyDescent="0.3">
      <c r="A4" t="s">
        <v>478</v>
      </c>
    </row>
    <row r="6" spans="1:42" x14ac:dyDescent="0.3">
      <c r="A6" s="49" t="s">
        <v>305</v>
      </c>
    </row>
    <row r="7" spans="1:42" x14ac:dyDescent="0.3">
      <c r="A7" t="s">
        <v>306</v>
      </c>
    </row>
    <row r="8" spans="1:42" x14ac:dyDescent="0.3">
      <c r="A8" t="s">
        <v>307</v>
      </c>
    </row>
    <row r="10" spans="1:42" x14ac:dyDescent="0.3">
      <c r="A10" t="s">
        <v>64</v>
      </c>
    </row>
    <row r="11" spans="1:42" x14ac:dyDescent="0.3">
      <c r="A11" t="s">
        <v>366</v>
      </c>
      <c r="C11" s="2"/>
    </row>
    <row r="12" spans="1:42" x14ac:dyDescent="0.3">
      <c r="C12" s="2"/>
    </row>
    <row r="13" spans="1:42" x14ac:dyDescent="0.3">
      <c r="A13" t="s">
        <v>65</v>
      </c>
      <c r="B13">
        <v>1</v>
      </c>
      <c r="C13">
        <v>2</v>
      </c>
      <c r="D13">
        <v>3</v>
      </c>
      <c r="E13">
        <v>4</v>
      </c>
      <c r="F13">
        <v>5</v>
      </c>
      <c r="G13">
        <v>6</v>
      </c>
      <c r="H13">
        <v>7</v>
      </c>
      <c r="I13">
        <v>8</v>
      </c>
      <c r="J13">
        <v>9</v>
      </c>
      <c r="K13">
        <v>10</v>
      </c>
      <c r="L13">
        <v>11</v>
      </c>
      <c r="M13">
        <v>12</v>
      </c>
      <c r="N13">
        <v>13</v>
      </c>
      <c r="O13">
        <v>14</v>
      </c>
      <c r="P13">
        <v>15</v>
      </c>
      <c r="Q13">
        <v>16</v>
      </c>
      <c r="R13">
        <v>17</v>
      </c>
      <c r="S13">
        <v>18</v>
      </c>
      <c r="T13">
        <v>19</v>
      </c>
      <c r="U13">
        <v>20</v>
      </c>
      <c r="V13">
        <v>21</v>
      </c>
      <c r="W13">
        <v>22</v>
      </c>
      <c r="X13">
        <v>23</v>
      </c>
      <c r="Y13">
        <v>24</v>
      </c>
      <c r="Z13">
        <v>25</v>
      </c>
      <c r="AA13">
        <v>26</v>
      </c>
      <c r="AB13">
        <v>27</v>
      </c>
      <c r="AC13">
        <v>28</v>
      </c>
      <c r="AD13">
        <v>29</v>
      </c>
      <c r="AE13">
        <v>30</v>
      </c>
      <c r="AF13">
        <v>31</v>
      </c>
      <c r="AG13">
        <v>32</v>
      </c>
      <c r="AH13">
        <v>33</v>
      </c>
      <c r="AI13">
        <v>34</v>
      </c>
      <c r="AJ13">
        <v>35</v>
      </c>
      <c r="AK13">
        <v>36</v>
      </c>
      <c r="AL13">
        <v>37</v>
      </c>
      <c r="AM13">
        <v>38</v>
      </c>
      <c r="AN13">
        <v>39</v>
      </c>
      <c r="AO13">
        <v>40</v>
      </c>
      <c r="AP13" s="3" t="s">
        <v>66</v>
      </c>
    </row>
    <row r="14" spans="1:42" x14ac:dyDescent="0.3">
      <c r="A14" t="s">
        <v>67</v>
      </c>
      <c r="B14" s="2">
        <v>37386865.925427049</v>
      </c>
      <c r="C14" s="2">
        <v>35205316.407314584</v>
      </c>
      <c r="D14" s="2">
        <v>33221741.831401598</v>
      </c>
      <c r="E14" s="2">
        <v>31402675.619055025</v>
      </c>
      <c r="F14" s="2">
        <v>29722281.318950683</v>
      </c>
      <c r="G14" s="2">
        <v>28160229.803080063</v>
      </c>
      <c r="H14" s="2">
        <v>26700260.082529213</v>
      </c>
      <c r="I14" s="2">
        <v>25329177.132302251</v>
      </c>
      <c r="J14" s="2">
        <v>24036137.581141837</v>
      </c>
      <c r="K14" s="2">
        <v>22812130.052792687</v>
      </c>
      <c r="L14" s="2">
        <v>21649590.199863214</v>
      </c>
      <c r="M14" s="2">
        <v>20542110.869238917</v>
      </c>
      <c r="N14" s="2">
        <v>19484220.699304763</v>
      </c>
      <c r="O14" s="2">
        <v>18471212.760394745</v>
      </c>
      <c r="P14" s="2">
        <v>17499010.340483699</v>
      </c>
      <c r="Q14" s="2">
        <v>16564060.678350952</v>
      </c>
      <c r="R14" s="2">
        <v>15663249.985565476</v>
      </c>
      <c r="S14" s="2">
        <v>14793834.869955935</v>
      </c>
      <c r="T14" s="2">
        <v>13953386.52769622</v>
      </c>
      <c r="U14" s="2">
        <v>13139744.971971355</v>
      </c>
      <c r="V14" s="2">
        <v>12350981.22140367</v>
      </c>
      <c r="W14" s="2">
        <v>11585365.853658535</v>
      </c>
      <c r="X14" s="2">
        <v>10841342.688496005</v>
      </c>
      <c r="Y14" s="2">
        <v>10117506.634306453</v>
      </c>
      <c r="Z14" s="2">
        <v>9412584.9369175471</v>
      </c>
      <c r="AA14" s="2">
        <v>8725421.2262515575</v>
      </c>
      <c r="AB14" s="2">
        <v>8054961.8774862112</v>
      </c>
      <c r="AC14" s="2">
        <v>7400244.297602783</v>
      </c>
      <c r="AD14" s="2">
        <v>6760386.8220867384</v>
      </c>
      <c r="AE14" s="2">
        <v>6134579.9648787677</v>
      </c>
      <c r="AF14" s="2">
        <v>5522078.811033125</v>
      </c>
      <c r="AG14" s="2">
        <v>4922196.3786140764</v>
      </c>
      <c r="AH14" s="2">
        <v>4334297.8061844129</v>
      </c>
      <c r="AI14" s="2">
        <v>3757795.2463653656</v>
      </c>
      <c r="AJ14" s="2">
        <v>3192143.3655670113</v>
      </c>
      <c r="AK14" s="2">
        <v>2636835.366025093</v>
      </c>
      <c r="AL14" s="2">
        <v>2091399.4594511774</v>
      </c>
      <c r="AM14" s="2">
        <v>1555395.7324704763</v>
      </c>
      <c r="AN14" s="2">
        <v>1028413.3530275624</v>
      </c>
      <c r="AO14" s="2">
        <v>510068.0744347673</v>
      </c>
      <c r="AP14" s="2">
        <v>0</v>
      </c>
    </row>
    <row r="15" spans="1:42" x14ac:dyDescent="0.3">
      <c r="A15" s="17" t="s">
        <v>367</v>
      </c>
      <c r="B15" s="41">
        <f>EXP(-$A$16*B13)</f>
        <v>0.95122942450071402</v>
      </c>
      <c r="C15" s="41">
        <f t="shared" ref="C15:AO15" si="0">EXP(-$A$16*C13)</f>
        <v>0.90483741803595952</v>
      </c>
      <c r="D15" s="41">
        <f t="shared" si="0"/>
        <v>0.86070797642505781</v>
      </c>
      <c r="E15" s="41">
        <f t="shared" si="0"/>
        <v>0.81873075307798182</v>
      </c>
      <c r="F15" s="41">
        <f t="shared" si="0"/>
        <v>0.77880078307140488</v>
      </c>
      <c r="G15" s="41">
        <f t="shared" si="0"/>
        <v>0.74081822068171788</v>
      </c>
      <c r="H15" s="41">
        <f t="shared" si="0"/>
        <v>0.70468808971871344</v>
      </c>
      <c r="I15" s="41">
        <f t="shared" si="0"/>
        <v>0.67032004603563933</v>
      </c>
      <c r="J15" s="41">
        <f t="shared" si="0"/>
        <v>0.63762815162177333</v>
      </c>
      <c r="K15" s="41">
        <f t="shared" si="0"/>
        <v>0.60653065971263342</v>
      </c>
      <c r="L15" s="41">
        <f t="shared" si="0"/>
        <v>0.57694981038048665</v>
      </c>
      <c r="M15" s="41">
        <f t="shared" si="0"/>
        <v>0.54881163609402639</v>
      </c>
      <c r="N15" s="41">
        <f t="shared" si="0"/>
        <v>0.52204577676101604</v>
      </c>
      <c r="O15" s="41">
        <f t="shared" si="0"/>
        <v>0.49658530379140947</v>
      </c>
      <c r="P15" s="41">
        <f t="shared" si="0"/>
        <v>0.47236655274101469</v>
      </c>
      <c r="Q15" s="41">
        <f t="shared" si="0"/>
        <v>0.44932896411722156</v>
      </c>
      <c r="R15" s="41">
        <f t="shared" si="0"/>
        <v>0.42741493194872665</v>
      </c>
      <c r="S15" s="41">
        <f t="shared" si="0"/>
        <v>0.40656965974059911</v>
      </c>
      <c r="T15" s="41">
        <f t="shared" si="0"/>
        <v>0.38674102345450118</v>
      </c>
      <c r="U15" s="41">
        <f t="shared" si="0"/>
        <v>0.36787944117144233</v>
      </c>
      <c r="V15" s="41">
        <f t="shared" si="0"/>
        <v>0.34993774911115533</v>
      </c>
      <c r="W15" s="41">
        <f t="shared" si="0"/>
        <v>0.33287108369807955</v>
      </c>
      <c r="X15" s="41">
        <f t="shared" si="0"/>
        <v>0.31663676937905316</v>
      </c>
      <c r="Y15" s="41">
        <f t="shared" si="0"/>
        <v>0.30119421191220203</v>
      </c>
      <c r="Z15" s="41">
        <f t="shared" si="0"/>
        <v>0.28650479686019009</v>
      </c>
      <c r="AA15" s="41">
        <f t="shared" si="0"/>
        <v>0.27253179303401259</v>
      </c>
      <c r="AB15" s="41">
        <f t="shared" si="0"/>
        <v>0.25924026064589151</v>
      </c>
      <c r="AC15" s="41">
        <f t="shared" si="0"/>
        <v>0.24659696394160643</v>
      </c>
      <c r="AD15" s="41">
        <f t="shared" si="0"/>
        <v>0.23457028809379762</v>
      </c>
      <c r="AE15" s="41">
        <f t="shared" si="0"/>
        <v>0.22313016014842982</v>
      </c>
      <c r="AF15" s="41">
        <f t="shared" si="0"/>
        <v>0.21224797382674304</v>
      </c>
      <c r="AG15" s="41">
        <f t="shared" si="0"/>
        <v>0.20189651799465538</v>
      </c>
      <c r="AH15" s="41">
        <f t="shared" si="0"/>
        <v>0.19204990862075408</v>
      </c>
      <c r="AI15" s="41">
        <f t="shared" si="0"/>
        <v>0.18268352405273461</v>
      </c>
      <c r="AJ15" s="41">
        <f t="shared" si="0"/>
        <v>0.17377394345044514</v>
      </c>
      <c r="AK15" s="41">
        <f t="shared" si="0"/>
        <v>0.16529888822158653</v>
      </c>
      <c r="AL15" s="41">
        <f t="shared" si="0"/>
        <v>0.15723716631362761</v>
      </c>
      <c r="AM15" s="41">
        <f t="shared" si="0"/>
        <v>0.14956861922263504</v>
      </c>
      <c r="AN15" s="41">
        <f t="shared" si="0"/>
        <v>0.14227407158651353</v>
      </c>
      <c r="AO15" s="41">
        <f t="shared" si="0"/>
        <v>0.1353352832366127</v>
      </c>
      <c r="AP15" s="6"/>
    </row>
    <row r="16" spans="1:42" x14ac:dyDescent="0.3">
      <c r="A16" s="40">
        <v>0.05</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row>
    <row r="17" spans="1:12" x14ac:dyDescent="0.3">
      <c r="C17" s="2"/>
    </row>
    <row r="18" spans="1:12" x14ac:dyDescent="0.3">
      <c r="A18" t="s">
        <v>368</v>
      </c>
      <c r="C18" s="2"/>
    </row>
    <row r="19" spans="1:12" x14ac:dyDescent="0.3">
      <c r="C19" s="2"/>
    </row>
    <row r="20" spans="1:12" x14ac:dyDescent="0.3">
      <c r="A20" t="s">
        <v>68</v>
      </c>
      <c r="C20" t="s">
        <v>79</v>
      </c>
      <c r="D20" s="35">
        <f>SUMPRODUCT(B14:AO14,B15:AO15)</f>
        <v>344498885.79706663</v>
      </c>
      <c r="F20" s="43" t="s">
        <v>78</v>
      </c>
      <c r="L20" s="23" t="s">
        <v>223</v>
      </c>
    </row>
    <row r="21" spans="1:12" x14ac:dyDescent="0.3">
      <c r="A21" t="s">
        <v>69</v>
      </c>
      <c r="C21" t="s">
        <v>80</v>
      </c>
      <c r="D21" s="42">
        <f>SUMPRODUCT(B13:AO13,B14:AO14,B15:AO15)/D20</f>
        <v>9.0140215529194734</v>
      </c>
      <c r="F21" s="43" t="s">
        <v>81</v>
      </c>
      <c r="L21" s="23" t="s">
        <v>288</v>
      </c>
    </row>
    <row r="22" spans="1:12" x14ac:dyDescent="0.3">
      <c r="A22" t="s">
        <v>70</v>
      </c>
      <c r="C22" t="s">
        <v>83</v>
      </c>
      <c r="D22" s="42">
        <f>SUMPRODUCT(B13:AO13,B13:AO13,B14:AO14,B15:AO15)/D20</f>
        <v>137.41643692111722</v>
      </c>
      <c r="E22" s="47"/>
      <c r="F22" s="43" t="s">
        <v>82</v>
      </c>
      <c r="L22" s="23" t="s">
        <v>289</v>
      </c>
    </row>
    <row r="23" spans="1:12" x14ac:dyDescent="0.3">
      <c r="C23" s="2"/>
    </row>
    <row r="24" spans="1:12" x14ac:dyDescent="0.3">
      <c r="A24" t="s">
        <v>292</v>
      </c>
      <c r="C24" s="2"/>
    </row>
    <row r="25" spans="1:12" x14ac:dyDescent="0.3">
      <c r="C25" s="2"/>
    </row>
    <row r="26" spans="1:12" x14ac:dyDescent="0.3">
      <c r="A26" t="s">
        <v>374</v>
      </c>
      <c r="C26" s="2"/>
      <c r="D26" t="s">
        <v>103</v>
      </c>
      <c r="E26">
        <v>5</v>
      </c>
    </row>
    <row r="27" spans="1:12" x14ac:dyDescent="0.3">
      <c r="C27" s="2"/>
      <c r="D27" t="s">
        <v>104</v>
      </c>
      <c r="E27">
        <v>75</v>
      </c>
      <c r="L27" s="7"/>
    </row>
    <row r="28" spans="1:12" x14ac:dyDescent="0.3">
      <c r="C28" s="2"/>
    </row>
    <row r="29" spans="1:12" x14ac:dyDescent="0.3">
      <c r="A29" t="s">
        <v>76</v>
      </c>
      <c r="C29" s="2"/>
      <c r="F29" s="24" t="s">
        <v>105</v>
      </c>
      <c r="G29" s="24">
        <v>-5.0000000000000001E-3</v>
      </c>
    </row>
    <row r="30" spans="1:12" x14ac:dyDescent="0.3">
      <c r="C30" s="2"/>
    </row>
    <row r="31" spans="1:12" x14ac:dyDescent="0.3">
      <c r="A31" s="37" t="s">
        <v>369</v>
      </c>
      <c r="G31" t="s">
        <v>84</v>
      </c>
      <c r="H31" s="35">
        <f>D20</f>
        <v>344498885.79706663</v>
      </c>
    </row>
    <row r="32" spans="1:12" x14ac:dyDescent="0.3">
      <c r="A32" s="2"/>
    </row>
    <row r="33" spans="1:10" x14ac:dyDescent="0.3">
      <c r="A33" s="37" t="s">
        <v>86</v>
      </c>
      <c r="G33" t="s">
        <v>85</v>
      </c>
      <c r="H33" s="36">
        <f>(-(G29)*D21+0.5*D22*(G29)^2)*D20</f>
        <v>16118349.525276612</v>
      </c>
      <c r="J33" s="23" t="s">
        <v>293</v>
      </c>
    </row>
    <row r="34" spans="1:10" x14ac:dyDescent="0.3">
      <c r="A34" s="37" t="s">
        <v>87</v>
      </c>
      <c r="G34" t="s">
        <v>88</v>
      </c>
      <c r="H34" s="36">
        <f>(-G29*E26+0.5*E27*(G29)^2)*H31</f>
        <v>8935439.8503614161</v>
      </c>
    </row>
    <row r="35" spans="1:10" x14ac:dyDescent="0.3">
      <c r="A35" s="37" t="s">
        <v>89</v>
      </c>
      <c r="G35" t="s">
        <v>90</v>
      </c>
      <c r="H35" s="30">
        <f>(H31+H34)/(D20+H33)</f>
        <v>0.98008162402860577</v>
      </c>
    </row>
    <row r="36" spans="1:10" x14ac:dyDescent="0.3">
      <c r="C36" s="2"/>
    </row>
    <row r="37" spans="1:10" x14ac:dyDescent="0.3">
      <c r="C37" s="2"/>
    </row>
    <row r="38" spans="1:10" x14ac:dyDescent="0.3">
      <c r="A38" t="s">
        <v>370</v>
      </c>
      <c r="C38" s="2"/>
    </row>
    <row r="39" spans="1:10" x14ac:dyDescent="0.3">
      <c r="A39" t="s">
        <v>72</v>
      </c>
      <c r="B39" s="52" t="s">
        <v>71</v>
      </c>
      <c r="C39" s="53" t="s">
        <v>73</v>
      </c>
    </row>
    <row r="40" spans="1:10" x14ac:dyDescent="0.3">
      <c r="A40" t="s">
        <v>74</v>
      </c>
      <c r="B40" s="52">
        <v>4</v>
      </c>
      <c r="C40" s="52">
        <v>19</v>
      </c>
    </row>
    <row r="41" spans="1:10" x14ac:dyDescent="0.3">
      <c r="A41" t="s">
        <v>75</v>
      </c>
      <c r="B41" s="52">
        <v>15</v>
      </c>
      <c r="C41" s="52">
        <v>250</v>
      </c>
    </row>
    <row r="43" spans="1:10" x14ac:dyDescent="0.3">
      <c r="C43" s="2"/>
    </row>
    <row r="44" spans="1:10" x14ac:dyDescent="0.3">
      <c r="A44" t="s">
        <v>300</v>
      </c>
      <c r="C44" s="2"/>
    </row>
    <row r="45" spans="1:10" x14ac:dyDescent="0.3">
      <c r="A45" t="s">
        <v>91</v>
      </c>
      <c r="C45" s="2"/>
    </row>
    <row r="46" spans="1:10" x14ac:dyDescent="0.3">
      <c r="A46" t="s">
        <v>371</v>
      </c>
      <c r="C46" s="2"/>
    </row>
    <row r="47" spans="1:10" x14ac:dyDescent="0.3">
      <c r="C47" s="2"/>
      <c r="H47" s="23" t="s">
        <v>290</v>
      </c>
    </row>
    <row r="48" spans="1:10" x14ac:dyDescent="0.3">
      <c r="A48" s="17" t="s">
        <v>372</v>
      </c>
      <c r="C48" s="2"/>
    </row>
    <row r="49" spans="1:5" x14ac:dyDescent="0.3">
      <c r="C49" s="2"/>
    </row>
    <row r="50" spans="1:5" x14ac:dyDescent="0.3">
      <c r="A50" s="2" t="s">
        <v>302</v>
      </c>
      <c r="C50" s="2"/>
      <c r="D50" s="17" t="s">
        <v>294</v>
      </c>
      <c r="E50" s="17" t="s">
        <v>296</v>
      </c>
    </row>
    <row r="51" spans="1:5" x14ac:dyDescent="0.3">
      <c r="A51" s="2" t="s">
        <v>303</v>
      </c>
      <c r="C51" s="2"/>
      <c r="D51" s="17" t="s">
        <v>373</v>
      </c>
      <c r="E51" s="17" t="s">
        <v>295</v>
      </c>
    </row>
    <row r="52" spans="1:5" x14ac:dyDescent="0.3">
      <c r="A52" s="2" t="s">
        <v>301</v>
      </c>
      <c r="C52" s="2"/>
    </row>
    <row r="53" spans="1:5" x14ac:dyDescent="0.3">
      <c r="C53" s="2"/>
    </row>
    <row r="54" spans="1:5" x14ac:dyDescent="0.3">
      <c r="C54" s="2"/>
    </row>
    <row r="55" spans="1:5" x14ac:dyDescent="0.3">
      <c r="A55" s="17" t="s">
        <v>92</v>
      </c>
      <c r="C55" s="2"/>
    </row>
    <row r="56" spans="1:5" x14ac:dyDescent="0.3">
      <c r="A56" s="17" t="s">
        <v>297</v>
      </c>
      <c r="C56" s="2"/>
    </row>
    <row r="57" spans="1:5" x14ac:dyDescent="0.3">
      <c r="A57" s="17" t="s">
        <v>375</v>
      </c>
      <c r="C57" s="2"/>
    </row>
    <row r="58" spans="1:5" x14ac:dyDescent="0.3">
      <c r="A58" s="17"/>
      <c r="C58" s="2"/>
    </row>
    <row r="59" spans="1:5" x14ac:dyDescent="0.3">
      <c r="C59" s="2"/>
    </row>
    <row r="60" spans="1:5" x14ac:dyDescent="0.3">
      <c r="A60" s="17" t="s">
        <v>93</v>
      </c>
      <c r="C60" s="2"/>
    </row>
    <row r="61" spans="1:5" x14ac:dyDescent="0.3">
      <c r="C61" s="2"/>
    </row>
    <row r="62" spans="1:5" x14ac:dyDescent="0.3">
      <c r="A62" s="45" t="s">
        <v>298</v>
      </c>
      <c r="C62" s="2"/>
    </row>
    <row r="63" spans="1:5" x14ac:dyDescent="0.3">
      <c r="A63" s="45" t="s">
        <v>299</v>
      </c>
      <c r="C63" s="2"/>
    </row>
    <row r="64" spans="1:5" x14ac:dyDescent="0.3">
      <c r="C64" s="2"/>
    </row>
    <row r="65" spans="1:6" x14ac:dyDescent="0.3">
      <c r="A65" t="s">
        <v>376</v>
      </c>
      <c r="C65" s="2"/>
    </row>
    <row r="66" spans="1:6" x14ac:dyDescent="0.3">
      <c r="A66" t="s">
        <v>94</v>
      </c>
      <c r="B66" t="s">
        <v>96</v>
      </c>
      <c r="C66" s="2" t="s">
        <v>97</v>
      </c>
      <c r="D66" t="s">
        <v>98</v>
      </c>
    </row>
    <row r="67" spans="1:6" x14ac:dyDescent="0.3">
      <c r="A67" t="s">
        <v>99</v>
      </c>
      <c r="B67" s="39">
        <f>B40-E26</f>
        <v>-1</v>
      </c>
      <c r="C67" s="39">
        <f>B41-E26</f>
        <v>10</v>
      </c>
      <c r="D67" s="20">
        <v>4</v>
      </c>
    </row>
    <row r="68" spans="1:6" x14ac:dyDescent="0.3">
      <c r="A68" t="s">
        <v>100</v>
      </c>
      <c r="B68" s="39">
        <f>C40-E27</f>
        <v>-56</v>
      </c>
      <c r="C68" s="39">
        <f>C41-E27</f>
        <v>175</v>
      </c>
      <c r="D68" s="20">
        <v>62.4</v>
      </c>
    </row>
    <row r="69" spans="1:6" x14ac:dyDescent="0.3">
      <c r="C69" s="2"/>
    </row>
    <row r="70" spans="1:6" x14ac:dyDescent="0.3">
      <c r="A70" t="s">
        <v>95</v>
      </c>
      <c r="B70" t="s">
        <v>101</v>
      </c>
      <c r="C70" s="46">
        <f>(D67*C68-D68*C67)/(B67*C68-B68*C67)</f>
        <v>0.19740259740259741</v>
      </c>
      <c r="D70" t="s">
        <v>377</v>
      </c>
    </row>
    <row r="71" spans="1:6" x14ac:dyDescent="0.3">
      <c r="B71" t="s">
        <v>102</v>
      </c>
      <c r="C71" s="46">
        <f>(B67*D68-B68*D67)/(B67*C68-B68*C67)</f>
        <v>0.41974025974025975</v>
      </c>
      <c r="D71" t="s">
        <v>378</v>
      </c>
      <c r="F71" s="7"/>
    </row>
    <row r="72" spans="1:6" x14ac:dyDescent="0.3">
      <c r="C72" s="2"/>
    </row>
    <row r="73" spans="1:6" x14ac:dyDescent="0.3">
      <c r="C73" s="8">
        <f>1-C70-C71</f>
        <v>0.38285714285714278</v>
      </c>
      <c r="D73" t="s">
        <v>108</v>
      </c>
    </row>
    <row r="74" spans="1:6" x14ac:dyDescent="0.3">
      <c r="C74" s="2"/>
    </row>
    <row r="75" spans="1:6" x14ac:dyDescent="0.3">
      <c r="C75" s="2"/>
    </row>
  </sheetData>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05D13-A48B-7E4E-A567-A3892D599AB3}">
  <sheetPr>
    <tabColor theme="5" tint="0.39997558519241921"/>
  </sheetPr>
  <dimension ref="A1:E98"/>
  <sheetViews>
    <sheetView zoomScale="115" zoomScaleNormal="115" workbookViewId="0"/>
  </sheetViews>
  <sheetFormatPr defaultColWidth="11.19921875" defaultRowHeight="15.6" x14ac:dyDescent="0.3"/>
  <sheetData>
    <row r="1" spans="1:2" x14ac:dyDescent="0.3">
      <c r="A1" s="49" t="s">
        <v>353</v>
      </c>
    </row>
    <row r="4" spans="1:2" hidden="1" x14ac:dyDescent="0.3"/>
    <row r="5" spans="1:2" hidden="1" x14ac:dyDescent="0.3"/>
    <row r="6" spans="1:2" hidden="1" x14ac:dyDescent="0.3"/>
    <row r="7" spans="1:2" hidden="1" x14ac:dyDescent="0.3"/>
    <row r="8" spans="1:2" hidden="1" x14ac:dyDescent="0.3"/>
    <row r="9" spans="1:2" x14ac:dyDescent="0.3">
      <c r="A9" t="s">
        <v>109</v>
      </c>
    </row>
    <row r="11" spans="1:2" x14ac:dyDescent="0.3">
      <c r="A11" s="52" t="s">
        <v>110</v>
      </c>
      <c r="B11" s="52" t="s">
        <v>111</v>
      </c>
    </row>
    <row r="12" spans="1:2" x14ac:dyDescent="0.3">
      <c r="A12" s="10">
        <v>43922</v>
      </c>
      <c r="B12">
        <v>1311</v>
      </c>
    </row>
    <row r="13" spans="1:2" x14ac:dyDescent="0.3">
      <c r="A13" s="10">
        <v>43952</v>
      </c>
      <c r="B13">
        <v>1394</v>
      </c>
    </row>
    <row r="14" spans="1:2" x14ac:dyDescent="0.3">
      <c r="A14" s="10">
        <v>43983</v>
      </c>
      <c r="B14">
        <v>1441</v>
      </c>
    </row>
    <row r="15" spans="1:2" x14ac:dyDescent="0.3">
      <c r="A15" s="10">
        <v>44013</v>
      </c>
      <c r="B15">
        <v>1480</v>
      </c>
    </row>
    <row r="16" spans="1:2" x14ac:dyDescent="0.3">
      <c r="A16" s="10">
        <v>44044</v>
      </c>
      <c r="B16">
        <v>1562</v>
      </c>
    </row>
    <row r="17" spans="1:2" x14ac:dyDescent="0.3">
      <c r="A17" s="10">
        <v>44075</v>
      </c>
      <c r="B17">
        <v>1508</v>
      </c>
    </row>
    <row r="18" spans="1:2" x14ac:dyDescent="0.3">
      <c r="A18" s="10">
        <v>44105</v>
      </c>
      <c r="B18">
        <v>1538</v>
      </c>
    </row>
    <row r="19" spans="1:2" x14ac:dyDescent="0.3">
      <c r="A19" s="10">
        <v>44136</v>
      </c>
      <c r="B19">
        <v>1820</v>
      </c>
    </row>
    <row r="20" spans="1:2" x14ac:dyDescent="0.3">
      <c r="A20" s="10">
        <v>44166</v>
      </c>
      <c r="B20">
        <v>1975</v>
      </c>
    </row>
    <row r="21" spans="1:2" x14ac:dyDescent="0.3">
      <c r="A21" s="10">
        <v>44197</v>
      </c>
      <c r="B21">
        <v>2074</v>
      </c>
    </row>
    <row r="22" spans="1:2" x14ac:dyDescent="0.3">
      <c r="A22" s="10">
        <v>44228</v>
      </c>
      <c r="B22">
        <v>2201</v>
      </c>
    </row>
    <row r="23" spans="1:2" x14ac:dyDescent="0.3">
      <c r="A23" s="10">
        <v>44256</v>
      </c>
      <c r="B23">
        <v>2221</v>
      </c>
    </row>
    <row r="24" spans="1:2" x14ac:dyDescent="0.3">
      <c r="A24" s="10">
        <v>44287</v>
      </c>
      <c r="B24">
        <v>2266</v>
      </c>
    </row>
    <row r="25" spans="1:2" x14ac:dyDescent="0.3">
      <c r="A25" s="10">
        <v>44317</v>
      </c>
      <c r="B25">
        <v>2269</v>
      </c>
    </row>
    <row r="26" spans="1:2" x14ac:dyDescent="0.3">
      <c r="A26" s="10">
        <v>44348</v>
      </c>
      <c r="B26">
        <v>2311</v>
      </c>
    </row>
    <row r="27" spans="1:2" x14ac:dyDescent="0.3">
      <c r="A27" s="10">
        <v>44378</v>
      </c>
      <c r="B27">
        <v>2226</v>
      </c>
    </row>
    <row r="28" spans="1:2" x14ac:dyDescent="0.3">
      <c r="A28" s="10">
        <v>44409</v>
      </c>
      <c r="B28">
        <v>2274</v>
      </c>
    </row>
    <row r="29" spans="1:2" x14ac:dyDescent="0.3">
      <c r="A29" s="10">
        <v>44440</v>
      </c>
      <c r="B29">
        <v>2204</v>
      </c>
    </row>
    <row r="30" spans="1:2" x14ac:dyDescent="0.3">
      <c r="A30" s="10">
        <v>44470</v>
      </c>
      <c r="B30">
        <v>2297</v>
      </c>
    </row>
    <row r="31" spans="1:2" x14ac:dyDescent="0.3">
      <c r="A31" s="10">
        <v>44501</v>
      </c>
      <c r="B31">
        <v>2199</v>
      </c>
    </row>
    <row r="32" spans="1:2" x14ac:dyDescent="0.3">
      <c r="A32" s="10">
        <v>44531</v>
      </c>
      <c r="B32">
        <v>2245</v>
      </c>
    </row>
    <row r="33" spans="1:2" x14ac:dyDescent="0.3">
      <c r="A33" s="10">
        <v>44562</v>
      </c>
      <c r="B33">
        <v>2028</v>
      </c>
    </row>
    <row r="34" spans="1:2" x14ac:dyDescent="0.3">
      <c r="A34" s="10">
        <v>44593</v>
      </c>
      <c r="B34">
        <v>2048</v>
      </c>
    </row>
    <row r="35" spans="1:2" x14ac:dyDescent="0.3">
      <c r="A35" s="10">
        <v>44621</v>
      </c>
      <c r="B35">
        <v>2070</v>
      </c>
    </row>
    <row r="36" spans="1:2" x14ac:dyDescent="0.3">
      <c r="A36" s="10">
        <v>44652</v>
      </c>
      <c r="B36">
        <v>1864</v>
      </c>
    </row>
    <row r="37" spans="1:2" x14ac:dyDescent="0.3">
      <c r="A37" s="10">
        <v>44682</v>
      </c>
      <c r="B37">
        <v>1864</v>
      </c>
    </row>
    <row r="38" spans="1:2" x14ac:dyDescent="0.3">
      <c r="A38" s="10">
        <v>44713</v>
      </c>
      <c r="B38">
        <v>1708</v>
      </c>
    </row>
    <row r="39" spans="1:2" x14ac:dyDescent="0.3">
      <c r="A39" s="10">
        <v>44743</v>
      </c>
      <c r="B39">
        <v>1885</v>
      </c>
    </row>
    <row r="40" spans="1:2" x14ac:dyDescent="0.3">
      <c r="A40" s="10">
        <v>44774</v>
      </c>
      <c r="B40">
        <v>1844</v>
      </c>
    </row>
    <row r="41" spans="1:2" x14ac:dyDescent="0.3">
      <c r="A41" s="10">
        <v>44805</v>
      </c>
      <c r="B41">
        <v>1665</v>
      </c>
    </row>
    <row r="42" spans="1:2" x14ac:dyDescent="0.3">
      <c r="A42" s="10">
        <v>44835</v>
      </c>
      <c r="B42">
        <v>1847</v>
      </c>
    </row>
    <row r="43" spans="1:2" x14ac:dyDescent="0.3">
      <c r="A43" s="10">
        <v>44866</v>
      </c>
      <c r="B43">
        <v>1887</v>
      </c>
    </row>
    <row r="44" spans="1:2" x14ac:dyDescent="0.3">
      <c r="A44" s="10">
        <v>44896</v>
      </c>
      <c r="B44">
        <v>1761</v>
      </c>
    </row>
    <row r="45" spans="1:2" x14ac:dyDescent="0.3">
      <c r="A45" s="10">
        <v>44927</v>
      </c>
      <c r="B45">
        <v>1932</v>
      </c>
    </row>
    <row r="46" spans="1:2" x14ac:dyDescent="0.3">
      <c r="A46" s="10">
        <v>44958</v>
      </c>
      <c r="B46">
        <v>1897</v>
      </c>
    </row>
    <row r="47" spans="1:2" x14ac:dyDescent="0.3">
      <c r="A47" s="10">
        <v>44986</v>
      </c>
      <c r="B47">
        <v>1802</v>
      </c>
    </row>
    <row r="48" spans="1:2" x14ac:dyDescent="0.3">
      <c r="A48" s="10">
        <v>45017</v>
      </c>
      <c r="B48">
        <v>1769</v>
      </c>
    </row>
    <row r="49" spans="1:2" x14ac:dyDescent="0.3">
      <c r="A49" s="10">
        <v>45047</v>
      </c>
      <c r="B49">
        <v>1750</v>
      </c>
    </row>
    <row r="50" spans="1:2" x14ac:dyDescent="0.3">
      <c r="A50" s="10">
        <v>45078</v>
      </c>
      <c r="B50">
        <v>1889</v>
      </c>
    </row>
    <row r="51" spans="1:2" x14ac:dyDescent="0.3">
      <c r="A51" s="10">
        <v>45108</v>
      </c>
      <c r="B51">
        <v>2003</v>
      </c>
    </row>
    <row r="52" spans="1:2" x14ac:dyDescent="0.3">
      <c r="A52" s="10">
        <v>45139</v>
      </c>
      <c r="B52">
        <v>1900</v>
      </c>
    </row>
    <row r="53" spans="1:2" x14ac:dyDescent="0.3">
      <c r="A53" s="10">
        <v>45170</v>
      </c>
      <c r="B53">
        <v>1785</v>
      </c>
    </row>
    <row r="54" spans="1:2" x14ac:dyDescent="0.3">
      <c r="A54" s="10">
        <v>45200</v>
      </c>
      <c r="B54">
        <v>1662</v>
      </c>
    </row>
    <row r="55" spans="1:2" x14ac:dyDescent="0.3">
      <c r="A55" s="10">
        <v>45231</v>
      </c>
      <c r="B55">
        <v>1809</v>
      </c>
    </row>
    <row r="56" spans="1:2" x14ac:dyDescent="0.3">
      <c r="A56" s="10">
        <v>45261</v>
      </c>
      <c r="B56">
        <v>2027</v>
      </c>
    </row>
    <row r="57" spans="1:2" x14ac:dyDescent="0.3">
      <c r="A57" s="10">
        <v>45292</v>
      </c>
      <c r="B57">
        <v>1947</v>
      </c>
    </row>
    <row r="58" spans="1:2" x14ac:dyDescent="0.3">
      <c r="A58" s="10">
        <v>45323</v>
      </c>
      <c r="B58">
        <v>2055</v>
      </c>
    </row>
    <row r="59" spans="1:2" x14ac:dyDescent="0.3">
      <c r="A59" s="10">
        <v>45352</v>
      </c>
      <c r="B59">
        <v>2125</v>
      </c>
    </row>
    <row r="60" spans="1:2" x14ac:dyDescent="0.3">
      <c r="A60" s="10">
        <v>45383</v>
      </c>
      <c r="B60">
        <v>1974</v>
      </c>
    </row>
    <row r="61" spans="1:2" x14ac:dyDescent="0.3">
      <c r="A61" s="10">
        <v>45413</v>
      </c>
      <c r="B61">
        <v>2070</v>
      </c>
    </row>
    <row r="62" spans="1:2" x14ac:dyDescent="0.3">
      <c r="A62" s="10">
        <v>45444</v>
      </c>
      <c r="B62">
        <v>2048</v>
      </c>
    </row>
    <row r="63" spans="1:2" x14ac:dyDescent="0.3">
      <c r="A63" s="10">
        <v>45474</v>
      </c>
      <c r="B63">
        <v>2254</v>
      </c>
    </row>
    <row r="64" spans="1:2" x14ac:dyDescent="0.3">
      <c r="A64" s="10">
        <v>45505</v>
      </c>
      <c r="B64">
        <v>2218</v>
      </c>
    </row>
    <row r="65" spans="1:4" x14ac:dyDescent="0.3">
      <c r="A65" s="10">
        <v>45536</v>
      </c>
      <c r="B65">
        <v>2230</v>
      </c>
    </row>
    <row r="66" spans="1:4" x14ac:dyDescent="0.3">
      <c r="A66" s="10">
        <v>45566</v>
      </c>
      <c r="B66">
        <v>2197</v>
      </c>
    </row>
    <row r="67" spans="1:4" x14ac:dyDescent="0.3">
      <c r="A67" s="10">
        <v>45597</v>
      </c>
      <c r="B67">
        <v>2435</v>
      </c>
    </row>
    <row r="68" spans="1:4" x14ac:dyDescent="0.3">
      <c r="A68" s="10">
        <v>45627</v>
      </c>
      <c r="B68">
        <v>2230</v>
      </c>
    </row>
    <row r="69" spans="1:4" x14ac:dyDescent="0.3">
      <c r="A69" s="10">
        <v>45658</v>
      </c>
      <c r="B69">
        <v>2288</v>
      </c>
    </row>
    <row r="70" spans="1:4" x14ac:dyDescent="0.3">
      <c r="A70" s="10">
        <v>45689</v>
      </c>
      <c r="B70">
        <v>2163</v>
      </c>
    </row>
    <row r="71" spans="1:4" x14ac:dyDescent="0.3">
      <c r="A71" s="10">
        <v>45717</v>
      </c>
      <c r="B71">
        <v>2012</v>
      </c>
    </row>
    <row r="74" spans="1:4" x14ac:dyDescent="0.3">
      <c r="A74" t="s">
        <v>379</v>
      </c>
    </row>
    <row r="77" spans="1:4" x14ac:dyDescent="0.3">
      <c r="A77" t="s">
        <v>120</v>
      </c>
      <c r="B77" s="39"/>
      <c r="C77" t="s">
        <v>121</v>
      </c>
      <c r="D77" s="39"/>
    </row>
    <row r="79" spans="1:4" x14ac:dyDescent="0.3">
      <c r="A79" t="s">
        <v>380</v>
      </c>
    </row>
    <row r="80" spans="1:4" hidden="1" x14ac:dyDescent="0.3"/>
    <row r="81" spans="1:5" hidden="1" x14ac:dyDescent="0.3"/>
    <row r="82" spans="1:5" ht="16.95" hidden="1" customHeight="1" x14ac:dyDescent="0.3"/>
    <row r="85" spans="1:5" x14ac:dyDescent="0.3">
      <c r="A85" t="s">
        <v>112</v>
      </c>
    </row>
    <row r="87" spans="1:5" x14ac:dyDescent="0.3">
      <c r="A87" t="s">
        <v>116</v>
      </c>
    </row>
    <row r="88" spans="1:5" x14ac:dyDescent="0.3">
      <c r="A88" t="s">
        <v>381</v>
      </c>
    </row>
    <row r="90" spans="1:5" x14ac:dyDescent="0.3">
      <c r="A90" t="s">
        <v>113</v>
      </c>
    </row>
    <row r="91" spans="1:5" x14ac:dyDescent="0.3">
      <c r="A91" t="s">
        <v>382</v>
      </c>
    </row>
    <row r="92" spans="1:5" x14ac:dyDescent="0.3">
      <c r="A92" t="s">
        <v>114</v>
      </c>
    </row>
    <row r="93" spans="1:5" x14ac:dyDescent="0.3">
      <c r="A93" t="s">
        <v>115</v>
      </c>
      <c r="E93" s="39"/>
    </row>
    <row r="94" spans="1:5" hidden="1" x14ac:dyDescent="0.3"/>
    <row r="95" spans="1:5" hidden="1" x14ac:dyDescent="0.3"/>
    <row r="96" spans="1:5" hidden="1" x14ac:dyDescent="0.3"/>
    <row r="97" spans="1:1" hidden="1" x14ac:dyDescent="0.3"/>
    <row r="98" spans="1:1" x14ac:dyDescent="0.3">
      <c r="A98" t="s">
        <v>384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539DD-D0CA-2341-82AE-6CA72C7C6D21}">
  <sheetPr>
    <tabColor theme="9" tint="0.59999389629810485"/>
  </sheetPr>
  <dimension ref="A1:K101"/>
  <sheetViews>
    <sheetView zoomScale="115" zoomScaleNormal="115" workbookViewId="0"/>
  </sheetViews>
  <sheetFormatPr defaultColWidth="11.19921875" defaultRowHeight="15.6" x14ac:dyDescent="0.3"/>
  <sheetData>
    <row r="1" spans="1:3" x14ac:dyDescent="0.3">
      <c r="A1" s="49" t="s">
        <v>479</v>
      </c>
    </row>
    <row r="3" spans="1:3" x14ac:dyDescent="0.3">
      <c r="A3" s="49" t="s">
        <v>345</v>
      </c>
    </row>
    <row r="4" spans="1:3" x14ac:dyDescent="0.3">
      <c r="A4" t="s">
        <v>480</v>
      </c>
    </row>
    <row r="6" spans="1:3" x14ac:dyDescent="0.3">
      <c r="A6" s="49" t="s">
        <v>324</v>
      </c>
    </row>
    <row r="7" spans="1:3" x14ac:dyDescent="0.3">
      <c r="A7" t="s">
        <v>470</v>
      </c>
    </row>
    <row r="9" spans="1:3" x14ac:dyDescent="0.3">
      <c r="A9" t="s">
        <v>109</v>
      </c>
    </row>
    <row r="11" spans="1:3" x14ac:dyDescent="0.3">
      <c r="A11" s="52" t="s">
        <v>110</v>
      </c>
      <c r="B11" s="52" t="s">
        <v>111</v>
      </c>
      <c r="C11" s="54" t="s">
        <v>117</v>
      </c>
    </row>
    <row r="12" spans="1:3" x14ac:dyDescent="0.3">
      <c r="A12" s="10">
        <v>43922</v>
      </c>
      <c r="B12">
        <v>1311</v>
      </c>
      <c r="C12" s="17" t="s">
        <v>118</v>
      </c>
    </row>
    <row r="13" spans="1:3" x14ac:dyDescent="0.3">
      <c r="A13" s="10">
        <v>43952</v>
      </c>
      <c r="B13">
        <v>1394</v>
      </c>
      <c r="C13" s="17">
        <f>LN(B13/B12)</f>
        <v>6.1387107556769266E-2</v>
      </c>
    </row>
    <row r="14" spans="1:3" x14ac:dyDescent="0.3">
      <c r="A14" s="10">
        <v>43983</v>
      </c>
      <c r="B14">
        <v>1441</v>
      </c>
      <c r="C14" s="17">
        <f t="shared" ref="C14:C71" si="0">LN(B14/B13)</f>
        <v>3.3160004679052876E-2</v>
      </c>
    </row>
    <row r="15" spans="1:3" x14ac:dyDescent="0.3">
      <c r="A15" s="10">
        <v>44013</v>
      </c>
      <c r="B15">
        <v>1480</v>
      </c>
      <c r="C15" s="17">
        <f t="shared" si="0"/>
        <v>2.6704770758638655E-2</v>
      </c>
    </row>
    <row r="16" spans="1:3" x14ac:dyDescent="0.3">
      <c r="A16" s="10">
        <v>44044</v>
      </c>
      <c r="B16">
        <v>1562</v>
      </c>
      <c r="C16" s="17">
        <f t="shared" si="0"/>
        <v>5.3924963641470515E-2</v>
      </c>
    </row>
    <row r="17" spans="1:3" x14ac:dyDescent="0.3">
      <c r="A17" s="10">
        <v>44075</v>
      </c>
      <c r="B17">
        <v>1508</v>
      </c>
      <c r="C17" s="17">
        <f t="shared" si="0"/>
        <v>-3.518278183172989E-2</v>
      </c>
    </row>
    <row r="18" spans="1:3" x14ac:dyDescent="0.3">
      <c r="A18" s="10">
        <v>44105</v>
      </c>
      <c r="B18">
        <v>1538</v>
      </c>
      <c r="C18" s="17">
        <f t="shared" si="0"/>
        <v>1.9698601497687984E-2</v>
      </c>
    </row>
    <row r="19" spans="1:3" x14ac:dyDescent="0.3">
      <c r="A19" s="10">
        <v>44136</v>
      </c>
      <c r="B19">
        <v>1820</v>
      </c>
      <c r="C19" s="17">
        <f t="shared" si="0"/>
        <v>0.16835363000525183</v>
      </c>
    </row>
    <row r="20" spans="1:3" x14ac:dyDescent="0.3">
      <c r="A20" s="10">
        <v>44166</v>
      </c>
      <c r="B20">
        <v>1975</v>
      </c>
      <c r="C20" s="17">
        <f t="shared" si="0"/>
        <v>8.173189726438114E-2</v>
      </c>
    </row>
    <row r="21" spans="1:3" x14ac:dyDescent="0.3">
      <c r="A21" s="10">
        <v>44197</v>
      </c>
      <c r="B21">
        <v>2074</v>
      </c>
      <c r="C21" s="17">
        <f t="shared" si="0"/>
        <v>4.891071145425048E-2</v>
      </c>
    </row>
    <row r="22" spans="1:3" x14ac:dyDescent="0.3">
      <c r="A22" s="10">
        <v>44228</v>
      </c>
      <c r="B22">
        <v>2201</v>
      </c>
      <c r="C22" s="17">
        <f t="shared" si="0"/>
        <v>5.9432692736988924E-2</v>
      </c>
    </row>
    <row r="23" spans="1:3" x14ac:dyDescent="0.3">
      <c r="A23" s="10">
        <v>44256</v>
      </c>
      <c r="B23">
        <v>2221</v>
      </c>
      <c r="C23" s="17">
        <f t="shared" si="0"/>
        <v>9.0457423679657714E-3</v>
      </c>
    </row>
    <row r="24" spans="1:3" x14ac:dyDescent="0.3">
      <c r="A24" s="10">
        <v>44287</v>
      </c>
      <c r="B24">
        <v>2266</v>
      </c>
      <c r="C24" s="17">
        <f t="shared" si="0"/>
        <v>2.0058617693524128E-2</v>
      </c>
    </row>
    <row r="25" spans="1:3" x14ac:dyDescent="0.3">
      <c r="A25" s="10">
        <v>44317</v>
      </c>
      <c r="B25">
        <v>2269</v>
      </c>
      <c r="C25" s="17">
        <f t="shared" si="0"/>
        <v>1.323043191890143E-3</v>
      </c>
    </row>
    <row r="26" spans="1:3" x14ac:dyDescent="0.3">
      <c r="A26" s="10">
        <v>44348</v>
      </c>
      <c r="B26">
        <v>2311</v>
      </c>
      <c r="C26" s="17">
        <f t="shared" si="0"/>
        <v>1.8341125494538962E-2</v>
      </c>
    </row>
    <row r="27" spans="1:3" x14ac:dyDescent="0.3">
      <c r="A27" s="10">
        <v>44378</v>
      </c>
      <c r="B27">
        <v>2226</v>
      </c>
      <c r="C27" s="17">
        <f t="shared" si="0"/>
        <v>-3.7474078438890605E-2</v>
      </c>
    </row>
    <row r="28" spans="1:3" x14ac:dyDescent="0.3">
      <c r="A28" s="10">
        <v>44409</v>
      </c>
      <c r="B28">
        <v>2274</v>
      </c>
      <c r="C28" s="17">
        <f t="shared" si="0"/>
        <v>2.1334142474991141E-2</v>
      </c>
    </row>
    <row r="29" spans="1:3" x14ac:dyDescent="0.3">
      <c r="A29" s="10">
        <v>44440</v>
      </c>
      <c r="B29">
        <v>2204</v>
      </c>
      <c r="C29" s="17">
        <f t="shared" si="0"/>
        <v>-3.1266504037676231E-2</v>
      </c>
    </row>
    <row r="30" spans="1:3" x14ac:dyDescent="0.3">
      <c r="A30" s="10">
        <v>44470</v>
      </c>
      <c r="B30">
        <v>2297</v>
      </c>
      <c r="C30" s="17">
        <f t="shared" si="0"/>
        <v>4.1330032416293225E-2</v>
      </c>
    </row>
    <row r="31" spans="1:3" x14ac:dyDescent="0.3">
      <c r="A31" s="10">
        <v>44501</v>
      </c>
      <c r="B31">
        <v>2199</v>
      </c>
      <c r="C31" s="17">
        <f t="shared" si="0"/>
        <v>-4.3601212134337125E-2</v>
      </c>
    </row>
    <row r="32" spans="1:3" x14ac:dyDescent="0.3">
      <c r="A32" s="10">
        <v>44531</v>
      </c>
      <c r="B32">
        <v>2245</v>
      </c>
      <c r="C32" s="17">
        <f t="shared" si="0"/>
        <v>2.0702809621593456E-2</v>
      </c>
    </row>
    <row r="33" spans="1:3" x14ac:dyDescent="0.3">
      <c r="A33" s="10">
        <v>44562</v>
      </c>
      <c r="B33">
        <v>2028</v>
      </c>
      <c r="C33" s="17">
        <f t="shared" si="0"/>
        <v>-0.10165543546528093</v>
      </c>
    </row>
    <row r="34" spans="1:3" x14ac:dyDescent="0.3">
      <c r="A34" s="10">
        <v>44593</v>
      </c>
      <c r="B34">
        <v>2048</v>
      </c>
      <c r="C34" s="17">
        <f t="shared" si="0"/>
        <v>9.8136214483246706E-3</v>
      </c>
    </row>
    <row r="35" spans="1:3" x14ac:dyDescent="0.3">
      <c r="A35" s="10">
        <v>44621</v>
      </c>
      <c r="B35">
        <v>2070</v>
      </c>
      <c r="C35" s="17">
        <f t="shared" si="0"/>
        <v>1.0684900100016353E-2</v>
      </c>
    </row>
    <row r="36" spans="1:3" x14ac:dyDescent="0.3">
      <c r="A36" s="10">
        <v>44652</v>
      </c>
      <c r="B36">
        <v>1864</v>
      </c>
      <c r="C36" s="17">
        <f t="shared" si="0"/>
        <v>-0.10482389101387832</v>
      </c>
    </row>
    <row r="37" spans="1:3" x14ac:dyDescent="0.3">
      <c r="A37" s="10">
        <v>44682</v>
      </c>
      <c r="B37">
        <v>1864</v>
      </c>
      <c r="C37" s="17">
        <f t="shared" si="0"/>
        <v>0</v>
      </c>
    </row>
    <row r="38" spans="1:3" x14ac:dyDescent="0.3">
      <c r="A38" s="10">
        <v>44713</v>
      </c>
      <c r="B38">
        <v>1708</v>
      </c>
      <c r="C38" s="17">
        <f t="shared" si="0"/>
        <v>-8.7401620897021345E-2</v>
      </c>
    </row>
    <row r="39" spans="1:3" x14ac:dyDescent="0.3">
      <c r="A39" s="10">
        <v>44743</v>
      </c>
      <c r="B39">
        <v>1885</v>
      </c>
      <c r="C39" s="17">
        <f t="shared" si="0"/>
        <v>9.8604725533595922E-2</v>
      </c>
    </row>
    <row r="40" spans="1:3" x14ac:dyDescent="0.3">
      <c r="A40" s="10">
        <v>44774</v>
      </c>
      <c r="B40">
        <v>1844</v>
      </c>
      <c r="C40" s="17">
        <f t="shared" si="0"/>
        <v>-2.1990695765571951E-2</v>
      </c>
    </row>
    <row r="41" spans="1:3" x14ac:dyDescent="0.3">
      <c r="A41" s="10">
        <v>44805</v>
      </c>
      <c r="B41">
        <v>1665</v>
      </c>
      <c r="C41" s="17">
        <f t="shared" si="0"/>
        <v>-0.102112001701995</v>
      </c>
    </row>
    <row r="42" spans="1:3" x14ac:dyDescent="0.3">
      <c r="A42" s="10">
        <v>44835</v>
      </c>
      <c r="B42">
        <v>1847</v>
      </c>
      <c r="C42" s="17">
        <f t="shared" si="0"/>
        <v>0.10373757778469582</v>
      </c>
    </row>
    <row r="43" spans="1:3" x14ac:dyDescent="0.3">
      <c r="A43" s="10">
        <v>44866</v>
      </c>
      <c r="B43">
        <v>1887</v>
      </c>
      <c r="C43" s="17">
        <f t="shared" si="0"/>
        <v>2.1425565169310247E-2</v>
      </c>
    </row>
    <row r="44" spans="1:3" x14ac:dyDescent="0.3">
      <c r="A44" s="10">
        <v>44896</v>
      </c>
      <c r="B44">
        <v>1761</v>
      </c>
      <c r="C44" s="17">
        <f t="shared" si="0"/>
        <v>-6.9106436872344107E-2</v>
      </c>
    </row>
    <row r="45" spans="1:3" x14ac:dyDescent="0.3">
      <c r="A45" s="10">
        <v>44927</v>
      </c>
      <c r="B45">
        <v>1932</v>
      </c>
      <c r="C45" s="17">
        <f t="shared" si="0"/>
        <v>9.2673906276257129E-2</v>
      </c>
    </row>
    <row r="46" spans="1:3" x14ac:dyDescent="0.3">
      <c r="A46" s="10">
        <v>44958</v>
      </c>
      <c r="B46">
        <v>1897</v>
      </c>
      <c r="C46" s="17">
        <f t="shared" si="0"/>
        <v>-1.8282044837449069E-2</v>
      </c>
    </row>
    <row r="47" spans="1:3" x14ac:dyDescent="0.3">
      <c r="A47" s="10">
        <v>44986</v>
      </c>
      <c r="B47">
        <v>1802</v>
      </c>
      <c r="C47" s="17">
        <f t="shared" si="0"/>
        <v>-5.1376531766731001E-2</v>
      </c>
    </row>
    <row r="48" spans="1:3" x14ac:dyDescent="0.3">
      <c r="A48" s="10">
        <v>45017</v>
      </c>
      <c r="B48">
        <v>1769</v>
      </c>
      <c r="C48" s="17">
        <f t="shared" si="0"/>
        <v>-1.8482744008497937E-2</v>
      </c>
    </row>
    <row r="49" spans="1:3" x14ac:dyDescent="0.3">
      <c r="A49" s="10">
        <v>45047</v>
      </c>
      <c r="B49">
        <v>1750</v>
      </c>
      <c r="C49" s="17">
        <f t="shared" si="0"/>
        <v>-1.0798627242225484E-2</v>
      </c>
    </row>
    <row r="50" spans="1:3" x14ac:dyDescent="0.3">
      <c r="A50" s="10">
        <v>45078</v>
      </c>
      <c r="B50">
        <v>1889</v>
      </c>
      <c r="C50" s="17">
        <f t="shared" si="0"/>
        <v>7.6431800583949785E-2</v>
      </c>
    </row>
    <row r="51" spans="1:3" x14ac:dyDescent="0.3">
      <c r="A51" s="10">
        <v>45108</v>
      </c>
      <c r="B51">
        <v>2003</v>
      </c>
      <c r="C51" s="17">
        <f t="shared" si="0"/>
        <v>5.8598468164308734E-2</v>
      </c>
    </row>
    <row r="52" spans="1:3" x14ac:dyDescent="0.3">
      <c r="A52" s="10">
        <v>45139</v>
      </c>
      <c r="B52">
        <v>1900</v>
      </c>
      <c r="C52" s="17">
        <f t="shared" si="0"/>
        <v>-5.2792170511286422E-2</v>
      </c>
    </row>
    <row r="53" spans="1:3" x14ac:dyDescent="0.3">
      <c r="A53" s="10">
        <v>45170</v>
      </c>
      <c r="B53">
        <v>1785</v>
      </c>
      <c r="C53" s="17">
        <f t="shared" si="0"/>
        <v>-6.243547094079234E-2</v>
      </c>
    </row>
    <row r="54" spans="1:3" x14ac:dyDescent="0.3">
      <c r="A54" s="10">
        <v>45200</v>
      </c>
      <c r="B54">
        <v>1662</v>
      </c>
      <c r="C54" s="17">
        <f t="shared" si="0"/>
        <v>-7.1396718798345929E-2</v>
      </c>
    </row>
    <row r="55" spans="1:3" x14ac:dyDescent="0.3">
      <c r="A55" s="10">
        <v>45231</v>
      </c>
      <c r="B55">
        <v>1809</v>
      </c>
      <c r="C55" s="17">
        <f t="shared" si="0"/>
        <v>8.4752509979901566E-2</v>
      </c>
    </row>
    <row r="56" spans="1:3" x14ac:dyDescent="0.3">
      <c r="A56" s="10">
        <v>45261</v>
      </c>
      <c r="B56">
        <v>2027</v>
      </c>
      <c r="C56" s="17">
        <f t="shared" si="0"/>
        <v>0.11378266105670481</v>
      </c>
    </row>
    <row r="57" spans="1:3" x14ac:dyDescent="0.3">
      <c r="A57" s="10">
        <v>45292</v>
      </c>
      <c r="B57">
        <v>1947</v>
      </c>
      <c r="C57" s="17">
        <f t="shared" si="0"/>
        <v>-4.0267141079800353E-2</v>
      </c>
    </row>
    <row r="58" spans="1:3" x14ac:dyDescent="0.3">
      <c r="A58" s="10">
        <v>45323</v>
      </c>
      <c r="B58">
        <v>2055</v>
      </c>
      <c r="C58" s="17">
        <f t="shared" si="0"/>
        <v>5.3986121558135272E-2</v>
      </c>
    </row>
    <row r="59" spans="1:3" x14ac:dyDescent="0.3">
      <c r="A59" s="10">
        <v>45352</v>
      </c>
      <c r="B59">
        <v>2125</v>
      </c>
      <c r="C59" s="17">
        <f t="shared" si="0"/>
        <v>3.3495954428182186E-2</v>
      </c>
    </row>
    <row r="60" spans="1:3" x14ac:dyDescent="0.3">
      <c r="A60" s="10">
        <v>45383</v>
      </c>
      <c r="B60">
        <v>1974</v>
      </c>
      <c r="C60" s="17">
        <f t="shared" si="0"/>
        <v>-7.3709861365090279E-2</v>
      </c>
    </row>
    <row r="61" spans="1:3" x14ac:dyDescent="0.3">
      <c r="A61" s="10">
        <v>45413</v>
      </c>
      <c r="B61">
        <v>2070</v>
      </c>
      <c r="C61" s="17">
        <f t="shared" si="0"/>
        <v>4.7486666265987874E-2</v>
      </c>
    </row>
    <row r="62" spans="1:3" x14ac:dyDescent="0.3">
      <c r="A62" s="10">
        <v>45444</v>
      </c>
      <c r="B62">
        <v>2048</v>
      </c>
      <c r="C62" s="17">
        <f t="shared" si="0"/>
        <v>-1.068490010001638E-2</v>
      </c>
    </row>
    <row r="63" spans="1:3" x14ac:dyDescent="0.3">
      <c r="A63" s="10">
        <v>45474</v>
      </c>
      <c r="B63">
        <v>2254</v>
      </c>
      <c r="C63" s="17">
        <f t="shared" si="0"/>
        <v>9.5842708440323207E-2</v>
      </c>
    </row>
    <row r="64" spans="1:3" x14ac:dyDescent="0.3">
      <c r="A64" s="10">
        <v>45505</v>
      </c>
      <c r="B64">
        <v>2218</v>
      </c>
      <c r="C64" s="17">
        <f t="shared" si="0"/>
        <v>-1.6100526689409266E-2</v>
      </c>
    </row>
    <row r="65" spans="1:10" x14ac:dyDescent="0.3">
      <c r="A65" s="10">
        <v>45536</v>
      </c>
      <c r="B65">
        <v>2230</v>
      </c>
      <c r="C65" s="17">
        <f t="shared" si="0"/>
        <v>5.3956965438520547E-3</v>
      </c>
    </row>
    <row r="66" spans="1:10" x14ac:dyDescent="0.3">
      <c r="A66" s="10">
        <v>45566</v>
      </c>
      <c r="B66">
        <v>2197</v>
      </c>
      <c r="C66" s="17">
        <f t="shared" si="0"/>
        <v>-1.4908792069554188E-2</v>
      </c>
    </row>
    <row r="67" spans="1:10" x14ac:dyDescent="0.3">
      <c r="A67" s="10">
        <v>45597</v>
      </c>
      <c r="B67">
        <v>2435</v>
      </c>
      <c r="C67" s="17">
        <f t="shared" si="0"/>
        <v>0.10285396313208003</v>
      </c>
    </row>
    <row r="68" spans="1:10" x14ac:dyDescent="0.3">
      <c r="A68" s="10">
        <v>45627</v>
      </c>
      <c r="B68">
        <v>2230</v>
      </c>
      <c r="C68" s="17">
        <f t="shared" si="0"/>
        <v>-8.7945171062525695E-2</v>
      </c>
    </row>
    <row r="69" spans="1:10" x14ac:dyDescent="0.3">
      <c r="A69" s="10">
        <v>45658</v>
      </c>
      <c r="B69">
        <v>2288</v>
      </c>
      <c r="C69" s="17">
        <f t="shared" si="0"/>
        <v>2.5676488045524061E-2</v>
      </c>
    </row>
    <row r="70" spans="1:10" x14ac:dyDescent="0.3">
      <c r="A70" s="10">
        <v>45689</v>
      </c>
      <c r="B70">
        <v>2163</v>
      </c>
      <c r="C70" s="17">
        <f t="shared" si="0"/>
        <v>-5.6181926546629693E-2</v>
      </c>
    </row>
    <row r="71" spans="1:10" x14ac:dyDescent="0.3">
      <c r="A71" s="10">
        <v>45717</v>
      </c>
      <c r="B71">
        <v>2012</v>
      </c>
      <c r="C71" s="17">
        <f t="shared" si="0"/>
        <v>-7.2366894733428985E-2</v>
      </c>
    </row>
    <row r="74" spans="1:10" x14ac:dyDescent="0.3">
      <c r="A74" t="s">
        <v>379</v>
      </c>
    </row>
    <row r="76" spans="1:10" x14ac:dyDescent="0.3">
      <c r="A76" s="17" t="s">
        <v>119</v>
      </c>
    </row>
    <row r="77" spans="1:10" x14ac:dyDescent="0.3">
      <c r="A77" t="s">
        <v>120</v>
      </c>
      <c r="B77" s="39">
        <f>AVERAGE(C13:C71)</f>
        <v>7.2599838551852458E-3</v>
      </c>
      <c r="C77" t="s">
        <v>121</v>
      </c>
      <c r="D77" s="39">
        <f>_xlfn.STDEV.P(C13:C71)</f>
        <v>6.1778954067861866E-2</v>
      </c>
      <c r="F77" t="s">
        <v>283</v>
      </c>
      <c r="J77" s="23" t="s">
        <v>284</v>
      </c>
    </row>
    <row r="79" spans="1:10" x14ac:dyDescent="0.3">
      <c r="A79" t="s">
        <v>380</v>
      </c>
      <c r="J79" s="23" t="s">
        <v>287</v>
      </c>
    </row>
    <row r="80" spans="1:10" x14ac:dyDescent="0.3">
      <c r="A80" s="17" t="s">
        <v>122</v>
      </c>
    </row>
    <row r="81" spans="1:11" x14ac:dyDescent="0.3">
      <c r="A81" s="17" t="s">
        <v>123</v>
      </c>
    </row>
    <row r="82" spans="1:11" ht="16.95" customHeight="1" x14ac:dyDescent="0.3">
      <c r="A82" s="17" t="s">
        <v>132</v>
      </c>
    </row>
    <row r="83" spans="1:11" x14ac:dyDescent="0.3">
      <c r="A83" s="17" t="s">
        <v>133</v>
      </c>
    </row>
    <row r="85" spans="1:11" x14ac:dyDescent="0.3">
      <c r="A85" t="s">
        <v>112</v>
      </c>
    </row>
    <row r="87" spans="1:11" x14ac:dyDescent="0.3">
      <c r="A87" t="s">
        <v>116</v>
      </c>
    </row>
    <row r="88" spans="1:11" x14ac:dyDescent="0.3">
      <c r="A88" t="s">
        <v>381</v>
      </c>
    </row>
    <row r="90" spans="1:11" x14ac:dyDescent="0.3">
      <c r="A90" t="s">
        <v>113</v>
      </c>
      <c r="K90" s="23" t="s">
        <v>285</v>
      </c>
    </row>
    <row r="91" spans="1:11" x14ac:dyDescent="0.3">
      <c r="A91" t="s">
        <v>382</v>
      </c>
      <c r="F91" s="17" t="s">
        <v>124</v>
      </c>
      <c r="G91" s="17"/>
    </row>
    <row r="92" spans="1:11" x14ac:dyDescent="0.3">
      <c r="A92" t="s">
        <v>114</v>
      </c>
      <c r="F92" s="17" t="s">
        <v>125</v>
      </c>
      <c r="G92" s="17"/>
    </row>
    <row r="93" spans="1:11" x14ac:dyDescent="0.3">
      <c r="A93" t="s">
        <v>115</v>
      </c>
      <c r="E93" s="39">
        <f>G94/(1-G95-G96)</f>
        <v>1.7499999999999992E-4</v>
      </c>
      <c r="F93" s="17" t="s">
        <v>383</v>
      </c>
      <c r="G93" s="17"/>
    </row>
    <row r="94" spans="1:11" x14ac:dyDescent="0.3">
      <c r="F94" s="17" t="s">
        <v>126</v>
      </c>
      <c r="G94" s="17">
        <v>1.7499999999999998E-5</v>
      </c>
    </row>
    <row r="95" spans="1:11" x14ac:dyDescent="0.3">
      <c r="F95" s="17" t="s">
        <v>127</v>
      </c>
      <c r="G95" s="17">
        <v>0.6</v>
      </c>
    </row>
    <row r="96" spans="1:11" x14ac:dyDescent="0.3">
      <c r="F96" s="17" t="s">
        <v>128</v>
      </c>
      <c r="G96" s="17">
        <v>0.3</v>
      </c>
    </row>
    <row r="98" spans="1:10" x14ac:dyDescent="0.3">
      <c r="A98" t="s">
        <v>384</v>
      </c>
    </row>
    <row r="100" spans="1:10" x14ac:dyDescent="0.3">
      <c r="A100" s="17" t="s">
        <v>129</v>
      </c>
      <c r="B100" s="17" t="s">
        <v>130</v>
      </c>
      <c r="J100" s="23" t="s">
        <v>286</v>
      </c>
    </row>
    <row r="101" spans="1:10" x14ac:dyDescent="0.3">
      <c r="A101" s="17"/>
      <c r="B101" s="17" t="s">
        <v>131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AE639BB4E74542A43DE6E767DBCE18" ma:contentTypeVersion="11" ma:contentTypeDescription="Create a new document." ma:contentTypeScope="" ma:versionID="681f7fff1efaa5d4527fe8ca50b73cf7">
  <xsd:schema xmlns:xsd="http://www.w3.org/2001/XMLSchema" xmlns:xs="http://www.w3.org/2001/XMLSchema" xmlns:p="http://schemas.microsoft.com/office/2006/metadata/properties" xmlns:ns2="2a829cb1-c3bd-48aa-b101-cd51227f80d0" xmlns:ns3="c264fd13-c93d-4e63-9fb0-02334996df4b" targetNamespace="http://schemas.microsoft.com/office/2006/metadata/properties" ma:root="true" ma:fieldsID="e809d16dd66263efebf52ef89ed394f9" ns2:_="" ns3:_="">
    <xsd:import namespace="2a829cb1-c3bd-48aa-b101-cd51227f80d0"/>
    <xsd:import namespace="c264fd13-c93d-4e63-9fb0-02334996df4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829cb1-c3bd-48aa-b101-cd51227f8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267e5f2-3cc9-4b2c-97a9-20aec386c2b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4fd13-c93d-4e63-9fb0-02334996df4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da015f8-e9b6-4fc3-9b4e-646117ef80f2}" ma:internalName="TaxCatchAll" ma:showField="CatchAllData" ma:web="c264fd13-c93d-4e63-9fb0-02334996df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264fd13-c93d-4e63-9fb0-02334996df4b" xsi:nil="true"/>
    <lcf76f155ced4ddcb4097134ff3c332f xmlns="2a829cb1-c3bd-48aa-b101-cd51227f80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88FB8B2-2CFA-419A-BF3D-555FB02ECC10}"/>
</file>

<file path=customXml/itemProps2.xml><?xml version="1.0" encoding="utf-8"?>
<ds:datastoreItem xmlns:ds="http://schemas.openxmlformats.org/officeDocument/2006/customXml" ds:itemID="{14845F13-5905-484B-ABFB-780F2ECD325A}"/>
</file>

<file path=customXml/itemProps3.xml><?xml version="1.0" encoding="utf-8"?>
<ds:datastoreItem xmlns:ds="http://schemas.openxmlformats.org/officeDocument/2006/customXml" ds:itemID="{1CCFC2D7-72CF-4AC3-A1E6-4D6933AEA2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Cover </vt:lpstr>
      <vt:lpstr>Q1</vt:lpstr>
      <vt:lpstr>Q1 with solution</vt:lpstr>
      <vt:lpstr>Q2</vt:lpstr>
      <vt:lpstr>Q2 with solution</vt:lpstr>
      <vt:lpstr>Q3</vt:lpstr>
      <vt:lpstr>Q3 with solution</vt:lpstr>
      <vt:lpstr>Q4</vt:lpstr>
      <vt:lpstr>Q4 with solution</vt:lpstr>
      <vt:lpstr>Q5</vt:lpstr>
      <vt:lpstr>Q5 with solution</vt:lpstr>
      <vt:lpstr>Q6</vt:lpstr>
      <vt:lpstr>Q6 with solution</vt:lpstr>
      <vt:lpstr>Q7</vt:lpstr>
      <vt:lpstr>Q7 with solution</vt:lpstr>
      <vt:lpstr>Q8</vt:lpstr>
      <vt:lpstr>Q8 with solution</vt:lpstr>
      <vt:lpstr>Q9</vt:lpstr>
      <vt:lpstr>Q9 with solution</vt:lpstr>
      <vt:lpstr>Q10 </vt:lpstr>
      <vt:lpstr>Q10 with Solution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Hatfield</dc:creator>
  <cp:lastModifiedBy>Douglas Norris</cp:lastModifiedBy>
  <dcterms:created xsi:type="dcterms:W3CDTF">2025-04-16T23:27:20Z</dcterms:created>
  <dcterms:modified xsi:type="dcterms:W3CDTF">2025-06-26T14:00:49Z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0x010100F6AE639BB4E74542A43DE6E767DBCE18</vt:lpwstr>
  </property>
</Properties>
</file>