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societyofactuaries-my.sharepoint.com/personal/dnorris_soa_org/Documents/Documents/Projects/2025-26 Curriculum/FINAL GUIDED EXAMPLES/Fully Assembled/"/>
    </mc:Choice>
  </mc:AlternateContent>
  <xr:revisionPtr revIDLastSave="290" documentId="8_{BE4EF487-90B8-4A76-9741-7F7A115F1B3B}" xr6:coauthVersionLast="47" xr6:coauthVersionMax="47" xr10:uidLastSave="{8B1B4FA8-78CE-47BA-8A5A-9ABE09D3E1CC}"/>
  <bookViews>
    <workbookView xWindow="67080" yWindow="-120" windowWidth="38640" windowHeight="21120" xr2:uid="{00000000-000D-0000-FFFF-FFFF00000000}"/>
  </bookViews>
  <sheets>
    <sheet name="Cover " sheetId="34" r:id="rId1"/>
    <sheet name="Q1 LO 2a 2b 2c 2d Skwire Ch 25" sheetId="18" r:id="rId2"/>
    <sheet name="A1" sheetId="19" r:id="rId3"/>
    <sheet name="Q3 LO 2b 2c 2d Eaton Ch 10" sheetId="22" r:id="rId4"/>
    <sheet name="A3" sheetId="23" r:id="rId5"/>
    <sheet name="Q4 LO 2b 2c 2d Eaton Ch 9" sheetId="24" r:id="rId6"/>
    <sheet name="A4" sheetId="25" r:id="rId7"/>
    <sheet name="Q7 LO 3a-3g IHI Ch 6" sheetId="30" r:id="rId8"/>
    <sheet name="A7" sheetId="31" r:id="rId9"/>
    <sheet name="Q8 LO 3a 3b Eaton Ch 8" sheetId="32" r:id="rId10"/>
    <sheet name="A8" sheetId="33" r:id="rId11"/>
  </sheets>
  <externalReferences>
    <externalReference r:id="rId12"/>
  </externalReferences>
  <definedNames>
    <definedName name="Non_Fac">'[1]User Input'!$C$74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30" l="1"/>
  <c r="M13" i="30"/>
  <c r="M12" i="30"/>
  <c r="H15" i="32"/>
  <c r="E15" i="32"/>
  <c r="E24" i="33"/>
  <c r="E25" i="33"/>
  <c r="E23" i="33"/>
  <c r="D24" i="33"/>
  <c r="D25" i="33"/>
  <c r="D26" i="33"/>
  <c r="D23" i="33"/>
  <c r="C24" i="33"/>
  <c r="C25" i="33"/>
  <c r="C26" i="33"/>
  <c r="C23" i="33"/>
  <c r="M14" i="31"/>
  <c r="E82" i="31" s="1"/>
  <c r="M13" i="31"/>
  <c r="E57" i="31" s="1"/>
  <c r="M12" i="31"/>
  <c r="E32" i="31" s="1"/>
  <c r="B21" i="23"/>
  <c r="B23" i="23"/>
  <c r="B27" i="23"/>
  <c r="B25" i="23"/>
  <c r="D39" i="19"/>
  <c r="E53" i="19"/>
  <c r="D53" i="19" s="1"/>
  <c r="C53" i="19" s="1"/>
  <c r="F53" i="19" s="1"/>
  <c r="E54" i="19"/>
  <c r="D54" i="19" s="1"/>
  <c r="C54" i="19" s="1"/>
  <c r="F54" i="19" s="1"/>
  <c r="E55" i="19"/>
  <c r="D55" i="19" s="1"/>
  <c r="C55" i="19" s="1"/>
  <c r="F55" i="19" s="1"/>
  <c r="E52" i="19"/>
  <c r="F23" i="33" l="1"/>
  <c r="E33" i="31"/>
  <c r="E34" i="31" s="1"/>
  <c r="H15" i="33"/>
  <c r="E15" i="33"/>
  <c r="E26" i="33" s="1"/>
  <c r="B23" i="33"/>
  <c r="B24" i="33"/>
  <c r="B25" i="33"/>
  <c r="B26" i="33"/>
  <c r="C31" i="31"/>
  <c r="C44" i="31" s="1"/>
  <c r="D31" i="31"/>
  <c r="C32" i="31"/>
  <c r="D32" i="31"/>
  <c r="C33" i="31"/>
  <c r="C46" i="31" s="1"/>
  <c r="D33" i="31"/>
  <c r="C34" i="31"/>
  <c r="D34" i="31"/>
  <c r="C35" i="31"/>
  <c r="D35" i="31"/>
  <c r="C36" i="31"/>
  <c r="C49" i="31" s="1"/>
  <c r="D36" i="31"/>
  <c r="B43" i="31"/>
  <c r="C43" i="31"/>
  <c r="D43" i="31"/>
  <c r="E43" i="31"/>
  <c r="F43" i="31"/>
  <c r="B44" i="31"/>
  <c r="E44" i="31"/>
  <c r="B45" i="31"/>
  <c r="E45" i="31"/>
  <c r="B46" i="31"/>
  <c r="B47" i="31"/>
  <c r="D47" i="31"/>
  <c r="B48" i="31"/>
  <c r="C48" i="31"/>
  <c r="B49" i="31"/>
  <c r="F49" i="31"/>
  <c r="C56" i="31"/>
  <c r="D56" i="31"/>
  <c r="C57" i="31"/>
  <c r="D57" i="31"/>
  <c r="E70" i="31"/>
  <c r="C58" i="31"/>
  <c r="D58" i="31"/>
  <c r="E58" i="31"/>
  <c r="E71" i="31" s="1"/>
  <c r="C59" i="31"/>
  <c r="C72" i="31" s="1"/>
  <c r="D59" i="31"/>
  <c r="D72" i="31" s="1"/>
  <c r="C60" i="31"/>
  <c r="D60" i="31"/>
  <c r="C61" i="31"/>
  <c r="D61" i="31"/>
  <c r="B68" i="31"/>
  <c r="C68" i="31"/>
  <c r="D68" i="31"/>
  <c r="E68" i="31"/>
  <c r="F68" i="31"/>
  <c r="B69" i="31"/>
  <c r="D69" i="31"/>
  <c r="E69" i="31"/>
  <c r="B70" i="31"/>
  <c r="B71" i="31"/>
  <c r="B72" i="31"/>
  <c r="B73" i="31"/>
  <c r="B74" i="31"/>
  <c r="F74" i="31"/>
  <c r="C81" i="31"/>
  <c r="D81" i="31"/>
  <c r="C82" i="31"/>
  <c r="D82" i="31"/>
  <c r="D95" i="31" s="1"/>
  <c r="C83" i="31"/>
  <c r="C96" i="31" s="1"/>
  <c r="D83" i="31"/>
  <c r="D96" i="31" s="1"/>
  <c r="E83" i="31"/>
  <c r="E96" i="31" s="1"/>
  <c r="C84" i="31"/>
  <c r="D84" i="31"/>
  <c r="C85" i="31"/>
  <c r="D85" i="31"/>
  <c r="C86" i="31"/>
  <c r="D86" i="31"/>
  <c r="B93" i="31"/>
  <c r="C93" i="31"/>
  <c r="D93" i="31"/>
  <c r="E93" i="31"/>
  <c r="F93" i="31"/>
  <c r="B94" i="31"/>
  <c r="E94" i="31"/>
  <c r="B95" i="31"/>
  <c r="E95" i="31"/>
  <c r="B96" i="31"/>
  <c r="B97" i="31"/>
  <c r="B98" i="31"/>
  <c r="B99" i="31"/>
  <c r="D99" i="31"/>
  <c r="F99" i="31"/>
  <c r="D98" i="31" l="1"/>
  <c r="C69" i="31"/>
  <c r="C94" i="31"/>
  <c r="C71" i="31"/>
  <c r="C98" i="31"/>
  <c r="C47" i="31"/>
  <c r="D97" i="31"/>
  <c r="C97" i="31"/>
  <c r="D74" i="31"/>
  <c r="C74" i="31"/>
  <c r="D71" i="31"/>
  <c r="D73" i="31"/>
  <c r="E65" i="31"/>
  <c r="C73" i="31"/>
  <c r="D70" i="31"/>
  <c r="D94" i="31"/>
  <c r="D45" i="31"/>
  <c r="F25" i="33"/>
  <c r="G23" i="33"/>
  <c r="F24" i="33"/>
  <c r="F26" i="33"/>
  <c r="E84" i="31"/>
  <c r="E85" i="31" s="1"/>
  <c r="E98" i="31" s="1"/>
  <c r="E47" i="31"/>
  <c r="E35" i="31"/>
  <c r="E40" i="31"/>
  <c r="E90" i="31"/>
  <c r="D49" i="31"/>
  <c r="C99" i="31"/>
  <c r="D44" i="31"/>
  <c r="E59" i="31"/>
  <c r="E46" i="31"/>
  <c r="C70" i="31"/>
  <c r="D46" i="31"/>
  <c r="D48" i="31"/>
  <c r="C95" i="31"/>
  <c r="C45" i="31"/>
  <c r="E86" i="31" l="1"/>
  <c r="E99" i="31" s="1"/>
  <c r="E97" i="31"/>
  <c r="G24" i="33"/>
  <c r="G26" i="33"/>
  <c r="G25" i="33"/>
  <c r="E101" i="31"/>
  <c r="E88" i="31"/>
  <c r="F81" i="31" s="1"/>
  <c r="F82" i="31" s="1"/>
  <c r="E48" i="31"/>
  <c r="E36" i="31"/>
  <c r="E49" i="31" s="1"/>
  <c r="E52" i="31"/>
  <c r="E102" i="31"/>
  <c r="E72" i="31"/>
  <c r="E77" i="31" s="1"/>
  <c r="E60" i="31"/>
  <c r="F94" i="31" l="1"/>
  <c r="F102" i="31" s="1"/>
  <c r="G102" i="31" s="1"/>
  <c r="E38" i="31"/>
  <c r="F31" i="31" s="1"/>
  <c r="F44" i="31" s="1"/>
  <c r="E51" i="31"/>
  <c r="E61" i="31"/>
  <c r="E74" i="31" s="1"/>
  <c r="E73" i="31"/>
  <c r="F83" i="31"/>
  <c r="F95" i="31"/>
  <c r="E76" i="31" l="1"/>
  <c r="F32" i="31"/>
  <c r="F33" i="31" s="1"/>
  <c r="E63" i="31"/>
  <c r="F56" i="31" s="1"/>
  <c r="F69" i="31" s="1"/>
  <c r="F84" i="31"/>
  <c r="F96" i="31"/>
  <c r="F57" i="31" l="1"/>
  <c r="F58" i="31" s="1"/>
  <c r="F45" i="31"/>
  <c r="F52" i="31" s="1"/>
  <c r="G52" i="31" s="1"/>
  <c r="F34" i="31"/>
  <c r="F46" i="31"/>
  <c r="F97" i="31"/>
  <c r="F85" i="31"/>
  <c r="F70" i="31" l="1"/>
  <c r="F98" i="31"/>
  <c r="F101" i="31" s="1"/>
  <c r="G101" i="31" s="1"/>
  <c r="E91" i="31"/>
  <c r="F71" i="31"/>
  <c r="F77" i="31" s="1"/>
  <c r="G77" i="31" s="1"/>
  <c r="F59" i="31"/>
  <c r="F47" i="31"/>
  <c r="F35" i="31"/>
  <c r="F48" i="31" l="1"/>
  <c r="F51" i="31" s="1"/>
  <c r="G51" i="31" s="1"/>
  <c r="E41" i="31"/>
  <c r="F60" i="31"/>
  <c r="F72" i="31"/>
  <c r="F73" i="31" l="1"/>
  <c r="F76" i="31" s="1"/>
  <c r="G76" i="31" s="1"/>
  <c r="E66" i="31"/>
  <c r="D44" i="25" l="1"/>
  <c r="E44" i="25" s="1"/>
  <c r="I44" i="25"/>
  <c r="J44" i="25" s="1"/>
  <c r="B45" i="25"/>
  <c r="D45" i="25"/>
  <c r="H45" i="25"/>
  <c r="J45" i="25" s="1"/>
  <c r="K45" i="25" s="1"/>
  <c r="L45" i="25" s="1"/>
  <c r="I45" i="25"/>
  <c r="B46" i="25"/>
  <c r="B47" i="25" s="1"/>
  <c r="B48" i="25" s="1"/>
  <c r="B49" i="25" s="1"/>
  <c r="B50" i="25" s="1"/>
  <c r="B51" i="25" s="1"/>
  <c r="B52" i="25" s="1"/>
  <c r="B53" i="25" s="1"/>
  <c r="B54" i="25" s="1"/>
  <c r="B55" i="25" s="1"/>
  <c r="B56" i="25" s="1"/>
  <c r="B57" i="25" s="1"/>
  <c r="B58" i="25" s="1"/>
  <c r="B59" i="25" s="1"/>
  <c r="B60" i="25" s="1"/>
  <c r="B61" i="25" s="1"/>
  <c r="B62" i="25" s="1"/>
  <c r="B63" i="25" s="1"/>
  <c r="D46" i="25"/>
  <c r="H46" i="25"/>
  <c r="I46" i="25"/>
  <c r="D47" i="25"/>
  <c r="I47" i="25"/>
  <c r="D48" i="25"/>
  <c r="I48" i="25"/>
  <c r="D49" i="25"/>
  <c r="I49" i="25"/>
  <c r="D50" i="25"/>
  <c r="I50" i="25"/>
  <c r="D51" i="25"/>
  <c r="I51" i="25"/>
  <c r="D52" i="25"/>
  <c r="I52" i="25"/>
  <c r="D53" i="25"/>
  <c r="I53" i="25"/>
  <c r="D54" i="25"/>
  <c r="I54" i="25"/>
  <c r="D55" i="25"/>
  <c r="I55" i="25"/>
  <c r="D56" i="25"/>
  <c r="I56" i="25"/>
  <c r="D57" i="25"/>
  <c r="I57" i="25"/>
  <c r="D58" i="25"/>
  <c r="I58" i="25"/>
  <c r="D59" i="25"/>
  <c r="I59" i="25"/>
  <c r="D60" i="25"/>
  <c r="I60" i="25"/>
  <c r="D61" i="25"/>
  <c r="I61" i="25"/>
  <c r="D62" i="25"/>
  <c r="I62" i="25"/>
  <c r="D63" i="25"/>
  <c r="I63" i="25"/>
  <c r="D70" i="25"/>
  <c r="E70" i="25" s="1"/>
  <c r="F70" i="25" s="1"/>
  <c r="G70" i="25" s="1"/>
  <c r="I70" i="25"/>
  <c r="H71" i="25" s="1"/>
  <c r="J70" i="25"/>
  <c r="K70" i="25" s="1"/>
  <c r="L70" i="25" s="1"/>
  <c r="B71" i="25"/>
  <c r="B72" i="25" s="1"/>
  <c r="B73" i="25" s="1"/>
  <c r="B74" i="25" s="1"/>
  <c r="B75" i="25" s="1"/>
  <c r="B76" i="25" s="1"/>
  <c r="B77" i="25" s="1"/>
  <c r="B78" i="25" s="1"/>
  <c r="B79" i="25" s="1"/>
  <c r="B80" i="25" s="1"/>
  <c r="B81" i="25" s="1"/>
  <c r="B82" i="25" s="1"/>
  <c r="B83" i="25" s="1"/>
  <c r="B84" i="25" s="1"/>
  <c r="B85" i="25" s="1"/>
  <c r="B86" i="25" s="1"/>
  <c r="B87" i="25" s="1"/>
  <c r="B88" i="25" s="1"/>
  <c r="B89" i="25" s="1"/>
  <c r="D71" i="25"/>
  <c r="I71" i="25"/>
  <c r="D72" i="25"/>
  <c r="I72" i="25"/>
  <c r="D73" i="25"/>
  <c r="I73" i="25"/>
  <c r="D74" i="25"/>
  <c r="I74" i="25"/>
  <c r="D75" i="25"/>
  <c r="I75" i="25"/>
  <c r="D76" i="25"/>
  <c r="I76" i="25"/>
  <c r="D77" i="25"/>
  <c r="I77" i="25"/>
  <c r="D78" i="25"/>
  <c r="I78" i="25"/>
  <c r="D79" i="25"/>
  <c r="I79" i="25"/>
  <c r="D80" i="25"/>
  <c r="I80" i="25"/>
  <c r="D81" i="25"/>
  <c r="I81" i="25"/>
  <c r="D82" i="25"/>
  <c r="I82" i="25"/>
  <c r="D83" i="25"/>
  <c r="I83" i="25"/>
  <c r="D84" i="25"/>
  <c r="I84" i="25"/>
  <c r="D85" i="25"/>
  <c r="I85" i="25"/>
  <c r="D86" i="25"/>
  <c r="I86" i="25"/>
  <c r="D87" i="25"/>
  <c r="I87" i="25"/>
  <c r="D88" i="25"/>
  <c r="I88" i="25"/>
  <c r="D89" i="25"/>
  <c r="I89" i="25"/>
  <c r="B29" i="23"/>
  <c r="B31" i="23"/>
  <c r="B32" i="23" s="1"/>
  <c r="B40" i="23"/>
  <c r="B39" i="19"/>
  <c r="B59" i="19" s="1"/>
  <c r="C39" i="19"/>
  <c r="C59" i="19" s="1"/>
  <c r="B40" i="19"/>
  <c r="B60" i="19" s="1"/>
  <c r="C40" i="19"/>
  <c r="D40" i="19"/>
  <c r="E40" i="19" s="1"/>
  <c r="F40" i="19" s="1"/>
  <c r="B41" i="19"/>
  <c r="B61" i="19" s="1"/>
  <c r="C41" i="19"/>
  <c r="C61" i="19" s="1"/>
  <c r="D41" i="19"/>
  <c r="B42" i="19"/>
  <c r="B62" i="19" s="1"/>
  <c r="C42" i="19"/>
  <c r="C62" i="19" s="1"/>
  <c r="D42" i="19"/>
  <c r="E42" i="19" s="1"/>
  <c r="F42" i="19" s="1"/>
  <c r="D52" i="19"/>
  <c r="C52" i="19" s="1"/>
  <c r="F52" i="19" s="1"/>
  <c r="G53" i="19"/>
  <c r="D60" i="19" s="1"/>
  <c r="G54" i="19"/>
  <c r="D61" i="19" s="1"/>
  <c r="G55" i="19"/>
  <c r="D62" i="19" s="1"/>
  <c r="C60" i="19"/>
  <c r="J46" i="25" l="1"/>
  <c r="K46" i="25" s="1"/>
  <c r="L46" i="25" s="1"/>
  <c r="C71" i="25"/>
  <c r="K44" i="25"/>
  <c r="L44" i="25" s="1"/>
  <c r="H47" i="25"/>
  <c r="J47" i="25" s="1"/>
  <c r="K47" i="25" s="1"/>
  <c r="L47" i="25" s="1"/>
  <c r="E62" i="19"/>
  <c r="F62" i="19" s="1"/>
  <c r="E39" i="19"/>
  <c r="F39" i="19" s="1"/>
  <c r="B37" i="23"/>
  <c r="B38" i="23" s="1"/>
  <c r="B41" i="23" s="1"/>
  <c r="G52" i="19"/>
  <c r="E60" i="19"/>
  <c r="F60" i="19" s="1"/>
  <c r="J71" i="25"/>
  <c r="K71" i="25" s="1"/>
  <c r="L71" i="25" s="1"/>
  <c r="H72" i="25"/>
  <c r="C45" i="25"/>
  <c r="F44" i="25"/>
  <c r="G44" i="25" s="1"/>
  <c r="E61" i="19"/>
  <c r="F61" i="19" s="1"/>
  <c r="E41" i="19"/>
  <c r="F41" i="19" s="1"/>
  <c r="F44" i="19" s="1"/>
  <c r="H48" i="25" l="1"/>
  <c r="J48" i="25" s="1"/>
  <c r="K48" i="25" s="1"/>
  <c r="L48" i="25" s="1"/>
  <c r="C72" i="25"/>
  <c r="E71" i="25"/>
  <c r="F71" i="25" s="1"/>
  <c r="G71" i="25" s="1"/>
  <c r="D59" i="19"/>
  <c r="E59" i="19" s="1"/>
  <c r="F59" i="19" s="1"/>
  <c r="F64" i="19" s="1"/>
  <c r="H73" i="25"/>
  <c r="J72" i="25"/>
  <c r="K72" i="25" s="1"/>
  <c r="L72" i="25" s="1"/>
  <c r="E45" i="25"/>
  <c r="F45" i="25" s="1"/>
  <c r="G45" i="25" s="1"/>
  <c r="C46" i="25"/>
  <c r="H49" i="25" l="1"/>
  <c r="E72" i="25"/>
  <c r="F72" i="25" s="1"/>
  <c r="G72" i="25" s="1"/>
  <c r="C73" i="25"/>
  <c r="C47" i="25"/>
  <c r="E46" i="25"/>
  <c r="F46" i="25" s="1"/>
  <c r="G46" i="25" s="1"/>
  <c r="J73" i="25"/>
  <c r="K73" i="25" s="1"/>
  <c r="L73" i="25" s="1"/>
  <c r="H74" i="25"/>
  <c r="H50" i="25"/>
  <c r="J49" i="25"/>
  <c r="K49" i="25" s="1"/>
  <c r="L49" i="25" s="1"/>
  <c r="C74" i="25" l="1"/>
  <c r="E73" i="25"/>
  <c r="F73" i="25" s="1"/>
  <c r="G73" i="25" s="1"/>
  <c r="H51" i="25"/>
  <c r="J50" i="25"/>
  <c r="K50" i="25" s="1"/>
  <c r="L50" i="25" s="1"/>
  <c r="J74" i="25"/>
  <c r="K74" i="25" s="1"/>
  <c r="L74" i="25" s="1"/>
  <c r="H75" i="25"/>
  <c r="C48" i="25"/>
  <c r="E47" i="25"/>
  <c r="F47" i="25" s="1"/>
  <c r="G47" i="25" s="1"/>
  <c r="E74" i="25" l="1"/>
  <c r="F74" i="25" s="1"/>
  <c r="G74" i="25" s="1"/>
  <c r="C75" i="25"/>
  <c r="C49" i="25"/>
  <c r="E48" i="25"/>
  <c r="F48" i="25" s="1"/>
  <c r="G48" i="25" s="1"/>
  <c r="J75" i="25"/>
  <c r="K75" i="25" s="1"/>
  <c r="L75" i="25" s="1"/>
  <c r="H76" i="25"/>
  <c r="H52" i="25"/>
  <c r="J51" i="25"/>
  <c r="K51" i="25" s="1"/>
  <c r="L51" i="25" s="1"/>
  <c r="C76" i="25" l="1"/>
  <c r="E75" i="25"/>
  <c r="F75" i="25" s="1"/>
  <c r="G75" i="25" s="1"/>
  <c r="H53" i="25"/>
  <c r="J52" i="25"/>
  <c r="K52" i="25" s="1"/>
  <c r="L52" i="25" s="1"/>
  <c r="H77" i="25"/>
  <c r="J76" i="25"/>
  <c r="K76" i="25" s="1"/>
  <c r="L76" i="25" s="1"/>
  <c r="C50" i="25"/>
  <c r="E49" i="25"/>
  <c r="F49" i="25" s="1"/>
  <c r="G49" i="25" s="1"/>
  <c r="E76" i="25" l="1"/>
  <c r="F76" i="25" s="1"/>
  <c r="G76" i="25" s="1"/>
  <c r="C77" i="25"/>
  <c r="E50" i="25"/>
  <c r="F50" i="25" s="1"/>
  <c r="G50" i="25" s="1"/>
  <c r="C51" i="25"/>
  <c r="H78" i="25"/>
  <c r="J77" i="25"/>
  <c r="K77" i="25" s="1"/>
  <c r="L77" i="25" s="1"/>
  <c r="H54" i="25"/>
  <c r="J53" i="25"/>
  <c r="K53" i="25" s="1"/>
  <c r="L53" i="25" s="1"/>
  <c r="C78" i="25" l="1"/>
  <c r="E77" i="25"/>
  <c r="F77" i="25" s="1"/>
  <c r="G77" i="25" s="1"/>
  <c r="H79" i="25"/>
  <c r="J78" i="25"/>
  <c r="K78" i="25" s="1"/>
  <c r="L78" i="25" s="1"/>
  <c r="C52" i="25"/>
  <c r="E51" i="25"/>
  <c r="F51" i="25" s="1"/>
  <c r="G51" i="25" s="1"/>
  <c r="H55" i="25"/>
  <c r="J54" i="25"/>
  <c r="K54" i="25" s="1"/>
  <c r="L54" i="25" s="1"/>
  <c r="E78" i="25" l="1"/>
  <c r="F78" i="25" s="1"/>
  <c r="G78" i="25" s="1"/>
  <c r="C79" i="25"/>
  <c r="J55" i="25"/>
  <c r="K55" i="25" s="1"/>
  <c r="L55" i="25" s="1"/>
  <c r="H56" i="25"/>
  <c r="C53" i="25"/>
  <c r="E52" i="25"/>
  <c r="F52" i="25" s="1"/>
  <c r="G52" i="25" s="1"/>
  <c r="H80" i="25"/>
  <c r="J79" i="25"/>
  <c r="K79" i="25" s="1"/>
  <c r="L79" i="25" s="1"/>
  <c r="E79" i="25" l="1"/>
  <c r="F79" i="25" s="1"/>
  <c r="G79" i="25" s="1"/>
  <c r="C80" i="25"/>
  <c r="H81" i="25"/>
  <c r="J80" i="25"/>
  <c r="K80" i="25" s="1"/>
  <c r="L80" i="25" s="1"/>
  <c r="C54" i="25"/>
  <c r="E53" i="25"/>
  <c r="F53" i="25" s="1"/>
  <c r="G53" i="25" s="1"/>
  <c r="H57" i="25"/>
  <c r="J56" i="25"/>
  <c r="K56" i="25" s="1"/>
  <c r="L56" i="25" s="1"/>
  <c r="E80" i="25" l="1"/>
  <c r="F80" i="25" s="1"/>
  <c r="G80" i="25" s="1"/>
  <c r="C81" i="25"/>
  <c r="H58" i="25"/>
  <c r="J57" i="25"/>
  <c r="K57" i="25" s="1"/>
  <c r="L57" i="25" s="1"/>
  <c r="E54" i="25"/>
  <c r="F54" i="25" s="1"/>
  <c r="G54" i="25" s="1"/>
  <c r="C55" i="25"/>
  <c r="J81" i="25"/>
  <c r="K81" i="25" s="1"/>
  <c r="L81" i="25" s="1"/>
  <c r="H82" i="25"/>
  <c r="C82" i="25" l="1"/>
  <c r="E81" i="25"/>
  <c r="F81" i="25" s="1"/>
  <c r="G81" i="25" s="1"/>
  <c r="J82" i="25"/>
  <c r="K82" i="25" s="1"/>
  <c r="L82" i="25" s="1"/>
  <c r="H83" i="25"/>
  <c r="E55" i="25"/>
  <c r="F55" i="25" s="1"/>
  <c r="G55" i="25" s="1"/>
  <c r="C56" i="25"/>
  <c r="J58" i="25"/>
  <c r="K58" i="25" s="1"/>
  <c r="L58" i="25" s="1"/>
  <c r="H59" i="25"/>
  <c r="E82" i="25" l="1"/>
  <c r="F82" i="25" s="1"/>
  <c r="G82" i="25" s="1"/>
  <c r="C83" i="25"/>
  <c r="J59" i="25"/>
  <c r="K59" i="25" s="1"/>
  <c r="L59" i="25" s="1"/>
  <c r="H60" i="25"/>
  <c r="C57" i="25"/>
  <c r="E56" i="25"/>
  <c r="F56" i="25" s="1"/>
  <c r="G56" i="25" s="1"/>
  <c r="H84" i="25"/>
  <c r="J83" i="25"/>
  <c r="K83" i="25" s="1"/>
  <c r="L83" i="25" s="1"/>
  <c r="C84" i="25" l="1"/>
  <c r="E83" i="25"/>
  <c r="F83" i="25" s="1"/>
  <c r="G83" i="25" s="1"/>
  <c r="E57" i="25"/>
  <c r="F57" i="25" s="1"/>
  <c r="G57" i="25" s="1"/>
  <c r="C58" i="25"/>
  <c r="H85" i="25"/>
  <c r="J84" i="25"/>
  <c r="K84" i="25" s="1"/>
  <c r="L84" i="25" s="1"/>
  <c r="J60" i="25"/>
  <c r="K60" i="25" s="1"/>
  <c r="L60" i="25" s="1"/>
  <c r="H61" i="25"/>
  <c r="E84" i="25" l="1"/>
  <c r="F84" i="25" s="1"/>
  <c r="G84" i="25" s="1"/>
  <c r="C85" i="25"/>
  <c r="J85" i="25"/>
  <c r="K85" i="25" s="1"/>
  <c r="L85" i="25" s="1"/>
  <c r="H86" i="25"/>
  <c r="H62" i="25"/>
  <c r="J61" i="25"/>
  <c r="K61" i="25" s="1"/>
  <c r="L61" i="25" s="1"/>
  <c r="C59" i="25"/>
  <c r="E58" i="25"/>
  <c r="F58" i="25" s="1"/>
  <c r="G58" i="25" s="1"/>
  <c r="C86" i="25" l="1"/>
  <c r="E85" i="25"/>
  <c r="F85" i="25" s="1"/>
  <c r="G85" i="25" s="1"/>
  <c r="C60" i="25"/>
  <c r="E59" i="25"/>
  <c r="F59" i="25" s="1"/>
  <c r="G59" i="25" s="1"/>
  <c r="J62" i="25"/>
  <c r="K62" i="25" s="1"/>
  <c r="L62" i="25" s="1"/>
  <c r="H63" i="25"/>
  <c r="J63" i="25" s="1"/>
  <c r="K63" i="25" s="1"/>
  <c r="L63" i="25" s="1"/>
  <c r="J86" i="25"/>
  <c r="K86" i="25" s="1"/>
  <c r="L86" i="25" s="1"/>
  <c r="H87" i="25"/>
  <c r="C87" i="25" l="1"/>
  <c r="E86" i="25"/>
  <c r="F86" i="25" s="1"/>
  <c r="G86" i="25" s="1"/>
  <c r="J87" i="25"/>
  <c r="K87" i="25" s="1"/>
  <c r="L87" i="25" s="1"/>
  <c r="H88" i="25"/>
  <c r="C61" i="25"/>
  <c r="E60" i="25"/>
  <c r="F60" i="25" s="1"/>
  <c r="G60" i="25" s="1"/>
  <c r="C88" i="25" l="1"/>
  <c r="E87" i="25"/>
  <c r="F87" i="25" s="1"/>
  <c r="G87" i="25" s="1"/>
  <c r="C62" i="25"/>
  <c r="E61" i="25"/>
  <c r="F61" i="25" s="1"/>
  <c r="G61" i="25" s="1"/>
  <c r="H89" i="25"/>
  <c r="J89" i="25" s="1"/>
  <c r="K89" i="25" s="1"/>
  <c r="L89" i="25" s="1"/>
  <c r="J88" i="25"/>
  <c r="K88" i="25" s="1"/>
  <c r="L88" i="25" s="1"/>
  <c r="E88" i="25" l="1"/>
  <c r="F88" i="25" s="1"/>
  <c r="G88" i="25" s="1"/>
  <c r="C89" i="25"/>
  <c r="E89" i="25" s="1"/>
  <c r="F89" i="25" s="1"/>
  <c r="G89" i="25" s="1"/>
  <c r="C63" i="25"/>
  <c r="E63" i="25" s="1"/>
  <c r="F63" i="25" s="1"/>
  <c r="G63" i="25" s="1"/>
  <c r="E62" i="25"/>
  <c r="F62" i="25" s="1"/>
  <c r="G62" i="25" s="1"/>
</calcChain>
</file>

<file path=xl/sharedStrings.xml><?xml version="1.0" encoding="utf-8"?>
<sst xmlns="http://schemas.openxmlformats.org/spreadsheetml/2006/main" count="501" uniqueCount="220">
  <si>
    <t>b)</t>
  </si>
  <si>
    <t>a)</t>
  </si>
  <si>
    <t>Member</t>
  </si>
  <si>
    <t>Discount</t>
  </si>
  <si>
    <t>Table 1.3</t>
  </si>
  <si>
    <t>Table 1.2</t>
  </si>
  <si>
    <t>Table 1.1</t>
  </si>
  <si>
    <t>Source:</t>
  </si>
  <si>
    <t>Notes:</t>
  </si>
  <si>
    <t>Table 1.4</t>
  </si>
  <si>
    <t>Accumulated</t>
  </si>
  <si>
    <t>Female</t>
  </si>
  <si>
    <t>Male</t>
  </si>
  <si>
    <t>Gender</t>
  </si>
  <si>
    <t>Table 1.5</t>
  </si>
  <si>
    <t>M</t>
  </si>
  <si>
    <t>F</t>
  </si>
  <si>
    <t>Age</t>
  </si>
  <si>
    <t>(ii)</t>
  </si>
  <si>
    <t>(i)</t>
  </si>
  <si>
    <t>Calculate the expected disability payments in 20X1 for the four members, accounting for potential social security benefit offsets, assuming:</t>
  </si>
  <si>
    <t>Four members have been receiving disability payments and are expected to potentially receive Social Security Disability Insurance (SSDI) at the beginning of 20X1.</t>
  </si>
  <si>
    <t>LongView Insurance provides long term disability insurance.</t>
  </si>
  <si>
    <t>Member #4</t>
  </si>
  <si>
    <t>Member #3</t>
  </si>
  <si>
    <t>Member #2</t>
  </si>
  <si>
    <t>Member #1</t>
  </si>
  <si>
    <t>AIME</t>
  </si>
  <si>
    <t>Bend Point</t>
  </si>
  <si>
    <t>PIA %</t>
  </si>
  <si>
    <t>Average Indexed Monthly Earnings (AIME)</t>
  </si>
  <si>
    <t>Primary Insurance Amount (PIA) Bend Points</t>
  </si>
  <si>
    <t>70+</t>
  </si>
  <si>
    <t>65-69</t>
  </si>
  <si>
    <t>60-64</t>
  </si>
  <si>
    <t>55-59</t>
  </si>
  <si>
    <t>50-54</t>
  </si>
  <si>
    <t>45-49</t>
  </si>
  <si>
    <t>40-44</t>
  </si>
  <si>
    <t>35-39</t>
  </si>
  <si>
    <t>30-34</t>
  </si>
  <si>
    <t>0-29</t>
  </si>
  <si>
    <t>Monthly Benefit</t>
  </si>
  <si>
    <t>Gross Monthly Income</t>
  </si>
  <si>
    <t>% of Gross Monthly Income</t>
  </si>
  <si>
    <t>Disabled Member Information</t>
  </si>
  <si>
    <t>Ratio of Social Security Benefits to Pre-Disability Gross Monthly Income</t>
  </si>
  <si>
    <t>Probability of Social Security Benefit Offsets</t>
  </si>
  <si>
    <t>Group Insurance, 8th Ed, Chapter 25</t>
  </si>
  <si>
    <t>20X1 Expected Disability Payments</t>
  </si>
  <si>
    <t>All other calculations are consistent with question a)</t>
  </si>
  <si>
    <t>The social security offset amount is now calculated from the PIA amounts by member calculated above</t>
  </si>
  <si>
    <t>Monthly Benefit Payment w/ offsets</t>
  </si>
  <si>
    <t>Expected Social Security Offset</t>
  </si>
  <si>
    <t>Social Security Offset</t>
  </si>
  <si>
    <t>Social Security Probability</t>
  </si>
  <si>
    <t>The PIA is calculated from the PIA% times the allocated AIME between each bend point range</t>
  </si>
  <si>
    <t>The AIME is given in Table 1.5 and is allocated to each of the different bend point range</t>
  </si>
  <si>
    <t>PIA</t>
  </si>
  <si>
    <t>3rd Bend</t>
  </si>
  <si>
    <t>2nd Bend</t>
  </si>
  <si>
    <t>1st Bend</t>
  </si>
  <si>
    <t>The bend points and the PIA % for the PIA are given in Table 1.4</t>
  </si>
  <si>
    <t>The 20X1 expected disability payments is the sum of the expected monthly benefit payments for each member times 12</t>
  </si>
  <si>
    <t>The expected monthly benefit is the monthly benefit given in Table 1.3 less the expected social security offset</t>
  </si>
  <si>
    <t>The expected social security offset is the product of the probability of SSDI and the expected SSDI offset</t>
  </si>
  <si>
    <t>The social security offset amount is based on the member's average gross monthly income given in Table 1.3 times the estimated SSDI benefit based on monthly income given in Table 1.2</t>
  </si>
  <si>
    <t>The probability of each member receiving SSDI is given in Table 1.1 based on the member's age and gender</t>
  </si>
  <si>
    <t>Calculate the maximum allowable rate increase Golden Years Insurance company could consider and still pass the 58%/85% test.</t>
  </si>
  <si>
    <t>Assess if a rate increase would be permissible under the 58%/85% test.</t>
  </si>
  <si>
    <t>Golden Years Insurance operates in a jurisdiction that has adopted rate stability regulation and requires all LTC rate increases to pass the 58%/85% test.</t>
  </si>
  <si>
    <t>Golden Years Insurance already filed a rate increase several years ago but is considering filing for another.</t>
  </si>
  <si>
    <t>Golden Years Insurance company offers long term care insurance policy and has observed an increase in claims over initial assumptions.</t>
  </si>
  <si>
    <t>Incurred Claims</t>
  </si>
  <si>
    <t>Prior Rate Increase Premiums</t>
  </si>
  <si>
    <t>Initial Earned Premium</t>
  </si>
  <si>
    <t>Future Amounts</t>
  </si>
  <si>
    <t>Amounts</t>
  </si>
  <si>
    <t>Present Value of</t>
  </si>
  <si>
    <t>Premium and Claims Experience and Projections</t>
  </si>
  <si>
    <t>Insuring Long-Term Care, 2nd Ed, Chapter 10</t>
  </si>
  <si>
    <t>divided by the current total future premium</t>
  </si>
  <si>
    <t>The maximum rate increase is the total future premium allowed to be collected by rate increase calculated above</t>
  </si>
  <si>
    <t>Rate increase to be applied to all future premium</t>
  </si>
  <si>
    <t>The total future premium is given in Table 1.1</t>
  </si>
  <si>
    <t>Total future premium</t>
  </si>
  <si>
    <t>The passing amount is divided by 85% to get the total future premium allowed to be earned by rate increase</t>
  </si>
  <si>
    <t>Amount divided by 85%</t>
  </si>
  <si>
    <t>The current amount by which the 58%/85% test is being passed by is calculated from question a)</t>
  </si>
  <si>
    <t>Amount below the sum of accumulated claims and PV of future claims</t>
  </si>
  <si>
    <t>then the rate increase is permissible under the 58%/85% test</t>
  </si>
  <si>
    <t>If the sum of each of the components is less than the total claims, actual and expected</t>
  </si>
  <si>
    <t>The sum of the four 58%/85% test components</t>
  </si>
  <si>
    <t>85% of the present value of future projected premiums</t>
  </si>
  <si>
    <t>Present Value of future projected initial earned premium times 58%</t>
  </si>
  <si>
    <t>85% of the Accumulated Value of Prior Premium Rate Schedule Increase</t>
  </si>
  <si>
    <t>Accumulated Value of Initial Earned Premium Times 58%</t>
  </si>
  <si>
    <t>of premium from the rate increase is spent on claims</t>
  </si>
  <si>
    <t>The 58%/85% tests that 58% of initial premium is spent on claims and 85%</t>
  </si>
  <si>
    <t>Sum of accumulated incurred claims and the present value of future projected incurred claims</t>
  </si>
  <si>
    <t>HorizonGuard insurance is performing an experience study on its long-term care block of business.</t>
  </si>
  <si>
    <t>16+</t>
  </si>
  <si>
    <t>Policy Duration</t>
  </si>
  <si>
    <t>HorizonGuard</t>
  </si>
  <si>
    <t>Industry Average</t>
  </si>
  <si>
    <t>Terminations by Duration</t>
  </si>
  <si>
    <t>Voluntary Lapse Rate</t>
  </si>
  <si>
    <t>Insuring Long-Term Care, 2nd Ed, Chapter 9</t>
  </si>
  <si>
    <t>given in Table 1.2 is used instead</t>
  </si>
  <si>
    <t>The implied voluntary lapse rate is calculated using the same methodology as above except the industry average mortality rate</t>
  </si>
  <si>
    <t>Implied Voluntary Lapse Rate</t>
  </si>
  <si>
    <t>Terminations</t>
  </si>
  <si>
    <t>Exposure</t>
  </si>
  <si>
    <t>The implied mortality rate by duration  is calculated from the mortality lapses divided by the exposure by duration</t>
  </si>
  <si>
    <t>The difference in the terminations and voluntary lapse is the implied mortality lapses by duration</t>
  </si>
  <si>
    <t>The voluntary lapse by duration is calculated from the industry average voluntary lapse rate given in Table 1.1</t>
  </si>
  <si>
    <t>The terminations by duration are given in Table 1.3</t>
  </si>
  <si>
    <t>The duration 1 male and female exposure was given in the question</t>
  </si>
  <si>
    <t>Implied Mortality Rate</t>
  </si>
  <si>
    <t>Claims</t>
  </si>
  <si>
    <t>Premium</t>
  </si>
  <si>
    <t>Premiums</t>
  </si>
  <si>
    <t>Interest Rate</t>
  </si>
  <si>
    <t>Continuance Table</t>
  </si>
  <si>
    <t>Premiums are collected at the beginning of the year and claims paid at the end of the year.</t>
  </si>
  <si>
    <t>StrongStep Insurance offers disability insurance and sets the premiums assuming a net level premium with annual benefit increases of 5%.</t>
  </si>
  <si>
    <t>Assumptions</t>
  </si>
  <si>
    <t>20X3</t>
  </si>
  <si>
    <t>20X1</t>
  </si>
  <si>
    <t>20X2</t>
  </si>
  <si>
    <t>(Years)</t>
  </si>
  <si>
    <t>Individual Health Insurance, 2nd Ed, Chapter 6</t>
  </si>
  <si>
    <t>Retrospective</t>
  </si>
  <si>
    <t xml:space="preserve">Prospective </t>
  </si>
  <si>
    <t>Reserve</t>
  </si>
  <si>
    <t>Present Value Premium</t>
  </si>
  <si>
    <t>Present Value of Premium Payments</t>
  </si>
  <si>
    <t>Present Value Claims</t>
  </si>
  <si>
    <t>Persistency</t>
  </si>
  <si>
    <t>Duration</t>
  </si>
  <si>
    <t>The reserves are calculated for each of the remaining claims using the same methodology</t>
  </si>
  <si>
    <t>The reserve can be calculated either using the prospective and retrospective method</t>
  </si>
  <si>
    <t>The persistency and discount factors are adjusted to set the 1.0 basis at the claim duration</t>
  </si>
  <si>
    <t>The claim duration is based on the claim incurral year compared to the reserve valuation year</t>
  </si>
  <si>
    <t>The PV of the total premium equals the PV of claims and is calculated as the sum product of the premium, persistency, and discount</t>
  </si>
  <si>
    <t>The PV of premium payments is calculated based on the sum product of the persistency and discount</t>
  </si>
  <si>
    <t>The present value (PV) of the claims is the sum product of the discount and claims by duration</t>
  </si>
  <si>
    <t>The annual premium is calculated based on the present value of the claims and the present value of the premium payments calculated below</t>
  </si>
  <si>
    <t>The discount factor is calculated from the interest rate annualized by each duration</t>
  </si>
  <si>
    <t>information given in Table 1.2</t>
  </si>
  <si>
    <t>The persistency is calculated from the continuance table given in Table 1.1 based on the claimant demographic</t>
  </si>
  <si>
    <t>The claims trend is given in the question</t>
  </si>
  <si>
    <t>The interest rate is given in Table 1.3</t>
  </si>
  <si>
    <t>Claims trend</t>
  </si>
  <si>
    <t>Calculate the net premium ratio (NPR) for the year end financials of each year.</t>
  </si>
  <si>
    <t>Lighthouse Insurance is developing its financial reporting under GAAP and is subject to Long Duration Targeted Improvements (LDTI).</t>
  </si>
  <si>
    <t>Lighthouse Insurance offers Long Term Care Insurance.</t>
  </si>
  <si>
    <t>20X4</t>
  </si>
  <si>
    <t>Claim Settlement Expenses</t>
  </si>
  <si>
    <t>Benefits</t>
  </si>
  <si>
    <t>Year</t>
  </si>
  <si>
    <t>Present Value of Future</t>
  </si>
  <si>
    <t>Financial Valuation at Year End</t>
  </si>
  <si>
    <t>Insuring Long-Term Care, 2nd Ed, Chapter 8</t>
  </si>
  <si>
    <t>The NPR is capped at 100% each year</t>
  </si>
  <si>
    <t>The NPR is calculated as the present value of benefits plus claims settlement expenses, divided by the present value of benefits</t>
  </si>
  <si>
    <t>PV of future and past valuations for the respective amount</t>
  </si>
  <si>
    <t>The present value of benefits, claims settlement expenses, and premiums are given in Table 1.1 and the total PV is the sum of the</t>
  </si>
  <si>
    <t>NPR Capped</t>
  </si>
  <si>
    <t>PV of Claim Settlement Expenses</t>
  </si>
  <si>
    <t>PV of Benefits</t>
  </si>
  <si>
    <t>HorizonGuard's business is a closed block which initially sold 20,813 female and 17,029 male policies.</t>
  </si>
  <si>
    <t>The claim by duration is from the annual benefit given in Table 1.2 with the claims trend applied by duration</t>
  </si>
  <si>
    <t>The prospective method compares the difference in the future claims and future premiums, discounted backwards to the current duration</t>
  </si>
  <si>
    <t>The retrospective method compares the difference in the prior claims and prior premiums, discounted forwards to the current duration</t>
  </si>
  <si>
    <t>PV of Premiums</t>
  </si>
  <si>
    <t>LongView does know the members' primary insurance amount (PIA) and actual average indexed monthly earnings (AIME).</t>
  </si>
  <si>
    <t>LongView does not know the members' primary insurance amount (PIA) and actual average indexed monthly earnings (AIME).</t>
  </si>
  <si>
    <t>Average Pre-Disability Earned Monthly Income</t>
  </si>
  <si>
    <t>$0 - $1,000</t>
  </si>
  <si>
    <t>$1,000 - $4,000</t>
  </si>
  <si>
    <t>$4,000+</t>
  </si>
  <si>
    <t>Check</t>
  </si>
  <si>
    <t>Golden Years Insurance company offers a long-term care insurance policy and has observed an increase in claims over initial assumptions.</t>
  </si>
  <si>
    <t>HorizonGuard has only historically captured total terminations as it has not been able to distinguish been reasons for termination from voluntary forfeiture or due to death.</t>
  </si>
  <si>
    <t>HorizonGuard relies on industry studies to isolate the voluntary lapse and mortality rates.</t>
  </si>
  <si>
    <t>Voluntary Lapse (expected)</t>
  </si>
  <si>
    <t>Implied mortality</t>
  </si>
  <si>
    <t>Mortality (expected)</t>
  </si>
  <si>
    <t>Implied voluntary lapses</t>
  </si>
  <si>
    <t>Mortality Rate</t>
  </si>
  <si>
    <t>&lt;- End of 20X3</t>
  </si>
  <si>
    <t>Sample policies</t>
  </si>
  <si>
    <t>Annual Claims</t>
  </si>
  <si>
    <t>at Policy Issue</t>
  </si>
  <si>
    <t>Policy</t>
  </si>
  <si>
    <t>Issue Year</t>
  </si>
  <si>
    <t>Age at</t>
  </si>
  <si>
    <t>Issue</t>
  </si>
  <si>
    <t>Age At Issue</t>
  </si>
  <si>
    <t>Policy #1</t>
  </si>
  <si>
    <t>Policy #2</t>
  </si>
  <si>
    <t>Policy #3</t>
  </si>
  <si>
    <t>Accumulated Value of Past</t>
  </si>
  <si>
    <t>NPR Uncapped</t>
  </si>
  <si>
    <t>Calculate the reserve at the end of 20X3 using both the prospective and retrospective methodologies for the aggregated sample policies.</t>
  </si>
  <si>
    <t>Calculate the implied mortality by policy duration from HorizonGuard's experience.</t>
  </si>
  <si>
    <t>GUIDED EXAMPLES</t>
  </si>
  <si>
    <t>o</t>
  </si>
  <si>
    <t xml:space="preserve">These guided examples are intended to enhance specific curriculum resources where additional examples, practice calculations, and/or application of material could benefit candidates. These are not part of the required syllabus but are intended to make the required syllabus topics easier to master. These examples may be longer, more in depth, and/or include more calculation than would likely be used in an assessment environment.  </t>
  </si>
  <si>
    <t xml:space="preserve">These guided examples are presented in two formats – a version where candidates can attempt to navigate the problem/situation independently, and a narrated version where a solution is presented along with assistance to explain the steps involved.  </t>
  </si>
  <si>
    <t xml:space="preserve">These guided examples present one method of arriving at a solution; there could be equally appropriate alternative solutions. </t>
  </si>
  <si>
    <t>These guided examples are not intended to approximate a course assessment, and candidates should not use them as proxies for assessment items. For examples of assessment items, we recommend referencing the curated past exam questions for this course.</t>
  </si>
  <si>
    <t>education@soa.org</t>
  </si>
  <si>
    <t>Version 2025-1</t>
  </si>
  <si>
    <t xml:space="preserve">Copyright © Society of Actuaries </t>
  </si>
  <si>
    <t>These guided examples have been developed by Josh Collins (FSA, MAAA), ACTEX Learning, with review and modifications by course curriculum committee volunteers and SOA staff. We will continue to refine and expand this example set over time; candidates who would like to recommend source material that could benefit from additional guided examples should reach out to:</t>
  </si>
  <si>
    <r>
      <t xml:space="preserve">This guided example has been developed by </t>
    </r>
    <r>
      <rPr>
        <b/>
        <sz val="11"/>
        <color theme="1"/>
        <rFont val="Aptos"/>
        <family val="2"/>
      </rPr>
      <t>Josh Collins (FSA, MAAA), ACTEX Learning</t>
    </r>
    <r>
      <rPr>
        <sz val="11"/>
        <color theme="1"/>
        <rFont val="Aptos"/>
        <family val="2"/>
      </rPr>
      <t xml:space="preserve"> with review and edits as appropriate by course curriculum volunteers and SOA staff.  </t>
    </r>
  </si>
  <si>
    <t>Updated: July 8, 2025</t>
  </si>
  <si>
    <t>CP 321 - Disability, Long-Term Care, and Long-Duration Health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</si>
</sst>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4" formatCode="_(&quot;$&quot;* #,##0.00_);_(&quot;$&quot;* \(#,##0.00\);_(&quot;$&quot;* &quot;-&quot;??_);_(@_)"/>
    <numFmt numFmtId="43" formatCode="_(* #,##0.00_);_(* \(#,##0.00\);_(* &quot;-&quot;??_);_(@_)"/>
    <numFmt numFmtId="164" formatCode="0.0%"/>
    <numFmt numFmtId="165" formatCode="_(* #,##0.000_);_(* \(#,##0.000\);_(* &quot;-&quot;??_);_(@_)"/>
    <numFmt numFmtId="166"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sz val="11"/>
      <name val="Calibri"/>
      <family val="2"/>
      <scheme val="minor"/>
    </font>
    <font>
      <b/>
      <sz val="11"/>
      <color rgb="FFFF0000"/>
      <name val="Calibri"/>
      <family val="2"/>
      <scheme val="minor"/>
    </font>
    <font>
      <u/>
      <sz val="11"/>
      <color theme="10"/>
      <name val="Calibri"/>
      <family val="2"/>
      <scheme val="minor"/>
    </font>
    <font>
      <b/>
      <sz val="26"/>
      <color theme="4"/>
      <name val="Calibri Light"/>
      <family val="2"/>
    </font>
    <font>
      <sz val="11"/>
      <color theme="4"/>
      <name val="Calibri"/>
      <family val="2"/>
      <scheme val="minor"/>
    </font>
    <font>
      <sz val="16"/>
      <color theme="4"/>
      <name val="Calibri Light"/>
      <family val="2"/>
      <scheme val="major"/>
    </font>
    <font>
      <sz val="11"/>
      <name val="Aptos Narrow"/>
      <family val="2"/>
    </font>
    <font>
      <u/>
      <sz val="11"/>
      <color theme="10"/>
      <name val="Aptos Narrow"/>
      <family val="2"/>
    </font>
    <font>
      <sz val="11"/>
      <color theme="1"/>
      <name val="Aptos Narrow"/>
      <family val="2"/>
    </font>
    <font>
      <sz val="10"/>
      <color theme="1"/>
      <name val="Calibri"/>
      <family val="2"/>
      <scheme val="minor"/>
    </font>
    <font>
      <sz val="11"/>
      <color theme="1"/>
      <name val="Aptos"/>
      <family val="2"/>
    </font>
    <font>
      <b/>
      <sz val="11"/>
      <color theme="1"/>
      <name val="Aptos"/>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80">
    <xf numFmtId="0" fontId="0" fillId="0" borderId="0" xfId="0"/>
    <xf numFmtId="9" fontId="0" fillId="0" borderId="0" xfId="0" applyNumberFormat="1"/>
    <xf numFmtId="3" fontId="0" fillId="0" borderId="0" xfId="0" applyNumberFormat="1"/>
    <xf numFmtId="6" fontId="0" fillId="0" borderId="0" xfId="0" applyNumberFormat="1"/>
    <xf numFmtId="0" fontId="2" fillId="0" borderId="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4" xfId="0" applyFont="1" applyBorder="1" applyAlignment="1">
      <alignment horizontal="centerContinuous"/>
    </xf>
    <xf numFmtId="0" fontId="2" fillId="0" borderId="5" xfId="0" applyFont="1" applyBorder="1" applyAlignment="1">
      <alignment horizontal="centerContinuous"/>
    </xf>
    <xf numFmtId="0" fontId="2" fillId="0" borderId="6" xfId="0" applyFont="1" applyBorder="1" applyAlignment="1">
      <alignment horizontal="centerContinuous"/>
    </xf>
    <xf numFmtId="0" fontId="3" fillId="0" borderId="0" xfId="0" applyFont="1"/>
    <xf numFmtId="0" fontId="0" fillId="0" borderId="0" xfId="0" applyAlignment="1">
      <alignment horizontal="center"/>
    </xf>
    <xf numFmtId="0" fontId="0" fillId="0" borderId="7" xfId="0" applyBorder="1" applyAlignment="1">
      <alignment horizontal="centerContinuous"/>
    </xf>
    <xf numFmtId="0" fontId="0" fillId="0" borderId="8" xfId="0" applyBorder="1" applyAlignment="1">
      <alignment horizontal="centerContinuous"/>
    </xf>
    <xf numFmtId="0" fontId="2" fillId="0" borderId="0" xfId="0" applyFont="1"/>
    <xf numFmtId="3" fontId="0" fillId="0" borderId="0" xfId="0" applyNumberFormat="1" applyAlignment="1">
      <alignment horizontal="center"/>
    </xf>
    <xf numFmtId="164" fontId="0" fillId="0" borderId="0" xfId="3" applyNumberFormat="1" applyFont="1"/>
    <xf numFmtId="44" fontId="0" fillId="0" borderId="0" xfId="2" applyFont="1"/>
    <xf numFmtId="166" fontId="0" fillId="0" borderId="0" xfId="2" applyNumberFormat="1" applyFont="1"/>
    <xf numFmtId="164" fontId="0" fillId="0" borderId="0" xfId="3" applyNumberFormat="1" applyFont="1" applyAlignment="1">
      <alignment horizontal="center"/>
    </xf>
    <xf numFmtId="0" fontId="0" fillId="0" borderId="0" xfId="0" quotePrefix="1"/>
    <xf numFmtId="0" fontId="0" fillId="0" borderId="0" xfId="0" applyAlignment="1">
      <alignment horizontal="centerContinuous"/>
    </xf>
    <xf numFmtId="0" fontId="0" fillId="0" borderId="0" xfId="0" applyAlignment="1">
      <alignment wrapText="1"/>
    </xf>
    <xf numFmtId="0" fontId="2" fillId="0" borderId="0" xfId="0" applyFont="1" applyAlignment="1">
      <alignment horizontal="centerContinuous"/>
    </xf>
    <xf numFmtId="9" fontId="0" fillId="0" borderId="0" xfId="0" applyNumberFormat="1" applyAlignment="1">
      <alignment horizontal="center"/>
    </xf>
    <xf numFmtId="166" fontId="0" fillId="0" borderId="0" xfId="2" applyNumberFormat="1" applyFont="1" applyAlignment="1">
      <alignment horizontal="right"/>
    </xf>
    <xf numFmtId="0" fontId="0" fillId="0" borderId="0" xfId="0" applyAlignment="1">
      <alignment horizontal="left"/>
    </xf>
    <xf numFmtId="44" fontId="0" fillId="0" borderId="0" xfId="2" applyFont="1" applyAlignment="1">
      <alignment horizontal="center"/>
    </xf>
    <xf numFmtId="166" fontId="0" fillId="0" borderId="0" xfId="2" applyNumberFormat="1" applyFont="1" applyAlignment="1">
      <alignment horizontal="center"/>
    </xf>
    <xf numFmtId="9" fontId="0" fillId="0" borderId="0" xfId="3" applyFont="1"/>
    <xf numFmtId="165" fontId="0" fillId="0" borderId="0" xfId="1" applyNumberFormat="1" applyFont="1" applyAlignment="1">
      <alignment horizontal="center"/>
    </xf>
    <xf numFmtId="6" fontId="0" fillId="0" borderId="0" xfId="0" applyNumberFormat="1" applyAlignment="1">
      <alignment horizontal="center"/>
    </xf>
    <xf numFmtId="0" fontId="0" fillId="0" borderId="0" xfId="0" quotePrefix="1" applyAlignment="1">
      <alignment horizontal="center"/>
    </xf>
    <xf numFmtId="9" fontId="0" fillId="0" borderId="0" xfId="3" applyFont="1" applyAlignment="1">
      <alignment horizontal="center"/>
    </xf>
    <xf numFmtId="0" fontId="2" fillId="0" borderId="1" xfId="0" applyFont="1" applyBorder="1" applyAlignment="1">
      <alignment horizontal="centerContinuous" wrapText="1"/>
    </xf>
    <xf numFmtId="0" fontId="2" fillId="0" borderId="3" xfId="0" applyFont="1" applyBorder="1" applyAlignment="1">
      <alignment horizontal="centerContinuous" wrapText="1"/>
    </xf>
    <xf numFmtId="0" fontId="2" fillId="0" borderId="0" xfId="0" applyFont="1" applyAlignment="1">
      <alignment wrapText="1"/>
    </xf>
    <xf numFmtId="0" fontId="0" fillId="0" borderId="0" xfId="0" applyAlignment="1">
      <alignment horizontal="center" wrapText="1"/>
    </xf>
    <xf numFmtId="44" fontId="2" fillId="2" borderId="12" xfId="2" applyFont="1" applyFill="1" applyBorder="1" applyAlignment="1">
      <alignment horizontal="center"/>
    </xf>
    <xf numFmtId="164" fontId="2" fillId="2" borderId="12" xfId="3" applyNumberFormat="1" applyFont="1" applyFill="1" applyBorder="1"/>
    <xf numFmtId="1" fontId="0" fillId="0" borderId="0" xfId="0" applyNumberFormat="1"/>
    <xf numFmtId="164" fontId="0" fillId="0" borderId="0" xfId="0" applyNumberFormat="1"/>
    <xf numFmtId="0" fontId="2" fillId="0" borderId="2" xfId="0" applyFont="1" applyBorder="1" applyAlignment="1">
      <alignment horizontal="centerContinuous" wrapText="1"/>
    </xf>
    <xf numFmtId="0" fontId="2" fillId="0" borderId="13" xfId="0" applyFont="1" applyBorder="1" applyAlignment="1">
      <alignment horizontal="centerContinuous"/>
    </xf>
    <xf numFmtId="0" fontId="2" fillId="0" borderId="14" xfId="0" applyFont="1" applyBorder="1" applyAlignment="1">
      <alignment horizontal="centerContinuous"/>
    </xf>
    <xf numFmtId="9" fontId="2" fillId="0" borderId="0" xfId="0" applyNumberFormat="1" applyFont="1"/>
    <xf numFmtId="0" fontId="0" fillId="0" borderId="15" xfId="0" applyBorder="1" applyAlignment="1">
      <alignment horizontal="centerContinuous"/>
    </xf>
    <xf numFmtId="9" fontId="0" fillId="0" borderId="7" xfId="0" applyNumberFormat="1" applyBorder="1" applyAlignment="1">
      <alignment horizontal="centerContinuous"/>
    </xf>
    <xf numFmtId="6" fontId="0" fillId="0" borderId="15" xfId="0" applyNumberFormat="1" applyBorder="1" applyAlignment="1">
      <alignment horizontal="centerContinuous"/>
    </xf>
    <xf numFmtId="9" fontId="0" fillId="0" borderId="15" xfId="3" applyFont="1" applyBorder="1" applyAlignment="1">
      <alignment horizontal="centerContinuous"/>
    </xf>
    <xf numFmtId="0" fontId="0" fillId="0" borderId="15" xfId="0" quotePrefix="1" applyBorder="1" applyAlignment="1">
      <alignment horizontal="centerContinuous"/>
    </xf>
    <xf numFmtId="0" fontId="2" fillId="0" borderId="8" xfId="0" applyFont="1" applyBorder="1" applyAlignment="1">
      <alignment horizontal="centerContinuous"/>
    </xf>
    <xf numFmtId="164" fontId="0" fillId="0" borderId="0" xfId="0" applyNumberFormat="1" applyAlignment="1">
      <alignment horizontal="center"/>
    </xf>
    <xf numFmtId="0" fontId="2" fillId="0" borderId="0" xfId="0" applyFont="1" applyAlignment="1">
      <alignment horizontal="center"/>
    </xf>
    <xf numFmtId="164" fontId="2" fillId="2" borderId="11" xfId="3" applyNumberFormat="1" applyFont="1" applyFill="1" applyBorder="1" applyAlignment="1">
      <alignment horizontal="center"/>
    </xf>
    <xf numFmtId="164" fontId="2" fillId="2" borderId="10" xfId="3" applyNumberFormat="1" applyFont="1" applyFill="1" applyBorder="1" applyAlignment="1">
      <alignment horizontal="center"/>
    </xf>
    <xf numFmtId="164" fontId="2" fillId="2" borderId="9" xfId="3" applyNumberFormat="1" applyFont="1" applyFill="1" applyBorder="1" applyAlignment="1">
      <alignment horizontal="center"/>
    </xf>
    <xf numFmtId="44" fontId="0" fillId="0" borderId="0" xfId="2" quotePrefix="1" applyFont="1" applyAlignment="1">
      <alignment horizontal="center"/>
    </xf>
    <xf numFmtId="44" fontId="0" fillId="0" borderId="0" xfId="2" applyFont="1" applyBorder="1" applyAlignment="1">
      <alignment horizontal="center"/>
    </xf>
    <xf numFmtId="166" fontId="0" fillId="0" borderId="0" xfId="2" applyNumberFormat="1" applyFont="1" applyAlignment="1">
      <alignment horizontal="center" wrapText="1"/>
    </xf>
    <xf numFmtId="164" fontId="2" fillId="2" borderId="11" xfId="0" applyNumberFormat="1" applyFont="1" applyFill="1" applyBorder="1" applyAlignment="1">
      <alignment horizontal="center"/>
    </xf>
    <xf numFmtId="164" fontId="2" fillId="2" borderId="10" xfId="0" applyNumberFormat="1" applyFont="1" applyFill="1" applyBorder="1" applyAlignment="1">
      <alignment horizontal="center"/>
    </xf>
    <xf numFmtId="164" fontId="2" fillId="2" borderId="9" xfId="0" applyNumberFormat="1" applyFont="1" applyFill="1" applyBorder="1" applyAlignment="1">
      <alignment horizontal="center"/>
    </xf>
    <xf numFmtId="0" fontId="0" fillId="2" borderId="0" xfId="0" quotePrefix="1" applyFill="1" applyAlignment="1">
      <alignment horizontal="center"/>
    </xf>
    <xf numFmtId="0" fontId="5" fillId="0" borderId="0" xfId="0" applyFont="1"/>
    <xf numFmtId="166" fontId="0" fillId="0" borderId="0" xfId="2" applyNumberFormat="1" applyFont="1" applyFill="1" applyAlignment="1">
      <alignment horizontal="center" wrapText="1"/>
    </xf>
    <xf numFmtId="0" fontId="4" fillId="0" borderId="0" xfId="0" applyFont="1"/>
    <xf numFmtId="0" fontId="8" fillId="0" borderId="0" xfId="0" applyFont="1"/>
    <xf numFmtId="0" fontId="0" fillId="0" borderId="0" xfId="0" applyAlignment="1">
      <alignment horizontal="right" vertical="top" indent="1"/>
    </xf>
    <xf numFmtId="0" fontId="10" fillId="0" borderId="0" xfId="0" applyFont="1"/>
    <xf numFmtId="0" fontId="6" fillId="0" borderId="0" xfId="4"/>
    <xf numFmtId="0" fontId="11" fillId="0" borderId="0" xfId="4" applyFont="1"/>
    <xf numFmtId="0" fontId="12" fillId="0" borderId="0" xfId="0" applyFont="1"/>
    <xf numFmtId="0" fontId="14" fillId="0" borderId="0" xfId="0" applyFont="1"/>
    <xf numFmtId="0" fontId="10" fillId="0" borderId="0" xfId="0" applyFont="1" applyAlignment="1">
      <alignment horizontal="left" wrapText="1"/>
    </xf>
    <xf numFmtId="0" fontId="13" fillId="0" borderId="0" xfId="0" applyFont="1" applyAlignment="1">
      <alignment horizontal="left"/>
    </xf>
    <xf numFmtId="0" fontId="13" fillId="0" borderId="0" xfId="0" applyFont="1" applyAlignment="1">
      <alignment horizontal="center"/>
    </xf>
    <xf numFmtId="0" fontId="13" fillId="0" borderId="0" xfId="0" applyFont="1" applyAlignment="1">
      <alignment horizontal="right"/>
    </xf>
    <xf numFmtId="0" fontId="7" fillId="0" borderId="0" xfId="0" applyFont="1" applyAlignment="1">
      <alignment horizontal="center"/>
    </xf>
    <xf numFmtId="0" fontId="9" fillId="0" borderId="0" xfId="0" applyFont="1" applyAlignment="1">
      <alignment horizontal="center"/>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0</xdr:row>
      <xdr:rowOff>171451</xdr:rowOff>
    </xdr:from>
    <xdr:to>
      <xdr:col>2</xdr:col>
      <xdr:colOff>495301</xdr:colOff>
      <xdr:row>3</xdr:row>
      <xdr:rowOff>135542</xdr:rowOff>
    </xdr:to>
    <xdr:pic>
      <xdr:nvPicPr>
        <xdr:cNvPr id="2" name="Picture 1">
          <a:extLst>
            <a:ext uri="{FF2B5EF4-FFF2-40B4-BE49-F238E27FC236}">
              <a16:creationId xmlns:a16="http://schemas.microsoft.com/office/drawing/2014/main" id="{9980995F-0FBA-4430-BD12-93A50EF76D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167641"/>
          <a:ext cx="1524000" cy="514636"/>
        </a:xfrm>
        <a:prstGeom prst="rect">
          <a:avLst/>
        </a:prstGeom>
      </xdr:spPr>
    </xdr:pic>
    <xdr:clientData/>
  </xdr:twoCellAnchor>
  <xdr:twoCellAnchor>
    <xdr:from>
      <xdr:col>0</xdr:col>
      <xdr:colOff>285750</xdr:colOff>
      <xdr:row>8</xdr:row>
      <xdr:rowOff>57150</xdr:rowOff>
    </xdr:from>
    <xdr:to>
      <xdr:col>9</xdr:col>
      <xdr:colOff>590550</xdr:colOff>
      <xdr:row>8</xdr:row>
      <xdr:rowOff>66675</xdr:rowOff>
    </xdr:to>
    <xdr:cxnSp macro="">
      <xdr:nvCxnSpPr>
        <xdr:cNvPr id="3" name="Straight Connector 2">
          <a:extLst>
            <a:ext uri="{FF2B5EF4-FFF2-40B4-BE49-F238E27FC236}">
              <a16:creationId xmlns:a16="http://schemas.microsoft.com/office/drawing/2014/main" id="{C01B5C56-F664-48EE-A35E-2A4FE3C3D1E4}"/>
            </a:ext>
          </a:extLst>
        </xdr:cNvPr>
        <xdr:cNvCxnSpPr/>
      </xdr:nvCxnSpPr>
      <xdr:spPr>
        <a:xfrm>
          <a:off x="281940" y="172974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295275</xdr:colOff>
      <xdr:row>4</xdr:row>
      <xdr:rowOff>152400</xdr:rowOff>
    </xdr:from>
    <xdr:to>
      <xdr:col>9</xdr:col>
      <xdr:colOff>600075</xdr:colOff>
      <xdr:row>4</xdr:row>
      <xdr:rowOff>161925</xdr:rowOff>
    </xdr:to>
    <xdr:cxnSp macro="">
      <xdr:nvCxnSpPr>
        <xdr:cNvPr id="4" name="Straight Connector 3">
          <a:extLst>
            <a:ext uri="{FF2B5EF4-FFF2-40B4-BE49-F238E27FC236}">
              <a16:creationId xmlns:a16="http://schemas.microsoft.com/office/drawing/2014/main" id="{84D539D1-3213-4EB3-BB12-F0A36610EB56}"/>
            </a:ext>
          </a:extLst>
        </xdr:cNvPr>
        <xdr:cNvCxnSpPr/>
      </xdr:nvCxnSpPr>
      <xdr:spPr>
        <a:xfrm>
          <a:off x="293370" y="876300"/>
          <a:ext cx="5791200" cy="11430"/>
        </a:xfrm>
        <a:prstGeom prst="line">
          <a:avLst/>
        </a:prstGeom>
        <a:ln w="12700" cap="rnd">
          <a:solidFill>
            <a:schemeClr val="tx2">
              <a:lumMod val="75000"/>
              <a:lumOff val="25000"/>
            </a:schemeClr>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esearch\ZDP49%20(Fee%20Schedule%20Analyzer%20Model%20Update)\2021\Work%20Files\Milliman%202021%20Fee%20Schedule%20Analysis%20Model.xlsm" TargetMode="External"/><Relationship Id="rId1" Type="http://schemas.openxmlformats.org/officeDocument/2006/relationships/externalLinkPath" Target="file:///T:\Research\ZDP49%20(Fee%20Schedule%20Analyzer%20Model%20Update)\2021\Work%20Files\Milliman%202021%20Fee%20Schedule%20Analysis%20Mode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cense"/>
      <sheetName val="User Input"/>
      <sheetName val="Print Options"/>
      <sheetName val="Fee Schedule Library"/>
      <sheetName val="Active Fee Schedules"/>
      <sheetName val="Specialty Selection"/>
      <sheetName val="Summary"/>
      <sheetName val="Specialty Sample"/>
      <sheetName val="CL and Part B"/>
      <sheetName val="RBRVS"/>
      <sheetName val="Result Calcs"/>
      <sheetName val="Util Matrix"/>
      <sheetName val="Base Util Weights"/>
      <sheetName val="Estimated RVUs"/>
      <sheetName val="CPT Code Indicators"/>
      <sheetName val="Estimated Fees"/>
      <sheetName val="GPCI"/>
    </sheetNames>
    <sheetDataSet>
      <sheetData sheetId="0"/>
      <sheetData sheetId="1">
        <row r="74">
          <cell r="C74">
            <v>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ducation@soa.org?subject=Guided%20Examples%20Inquiry%2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1B1CF-19F1-4DBD-88B0-F42BA6A29C22}">
  <sheetPr>
    <tabColor rgb="FF0070C0"/>
    <pageSetUpPr autoPageBreaks="0"/>
  </sheetPr>
  <dimension ref="A6:K22"/>
  <sheetViews>
    <sheetView showGridLines="0" tabSelected="1" zoomScaleNormal="100" workbookViewId="0"/>
  </sheetViews>
  <sheetFormatPr defaultRowHeight="14.4" x14ac:dyDescent="0.3"/>
  <sheetData>
    <row r="6" spans="1:10" ht="33.6" x14ac:dyDescent="0.65">
      <c r="A6" s="78" t="s">
        <v>207</v>
      </c>
      <c r="B6" s="78"/>
      <c r="C6" s="78"/>
      <c r="D6" s="78"/>
      <c r="E6" s="78"/>
      <c r="F6" s="78"/>
      <c r="G6" s="78"/>
      <c r="H6" s="78"/>
      <c r="I6" s="78"/>
      <c r="J6" s="78"/>
    </row>
    <row r="7" spans="1:10" ht="6" customHeight="1" x14ac:dyDescent="0.3">
      <c r="A7" s="67"/>
      <c r="B7" s="67"/>
      <c r="C7" s="67"/>
      <c r="D7" s="67"/>
      <c r="E7" s="67"/>
      <c r="F7" s="67"/>
      <c r="G7" s="67"/>
      <c r="H7" s="67"/>
      <c r="I7" s="67"/>
      <c r="J7" s="67"/>
    </row>
    <row r="8" spans="1:10" ht="21" x14ac:dyDescent="0.4">
      <c r="A8" s="79" t="s">
        <v>219</v>
      </c>
      <c r="B8" s="79"/>
      <c r="C8" s="79"/>
      <c r="D8" s="79"/>
      <c r="E8" s="79"/>
      <c r="F8" s="79"/>
      <c r="G8" s="79"/>
      <c r="H8" s="79"/>
      <c r="I8" s="79"/>
      <c r="J8" s="79"/>
    </row>
    <row r="10" spans="1:10" ht="75" customHeight="1" x14ac:dyDescent="0.3">
      <c r="A10" s="68" t="s">
        <v>208</v>
      </c>
      <c r="B10" s="74" t="s">
        <v>209</v>
      </c>
      <c r="C10" s="74"/>
      <c r="D10" s="74"/>
      <c r="E10" s="74"/>
      <c r="F10" s="74"/>
      <c r="G10" s="74"/>
      <c r="H10" s="74"/>
      <c r="I10" s="74"/>
      <c r="J10" s="74"/>
    </row>
    <row r="11" spans="1:10" x14ac:dyDescent="0.3">
      <c r="B11" s="69"/>
      <c r="C11" s="69"/>
      <c r="D11" s="69"/>
      <c r="E11" s="69"/>
      <c r="F11" s="69"/>
      <c r="G11" s="69"/>
      <c r="H11" s="69"/>
      <c r="I11" s="69"/>
      <c r="J11" s="69"/>
    </row>
    <row r="12" spans="1:10" ht="45" customHeight="1" x14ac:dyDescent="0.3">
      <c r="A12" s="68" t="s">
        <v>208</v>
      </c>
      <c r="B12" s="74" t="s">
        <v>210</v>
      </c>
      <c r="C12" s="74"/>
      <c r="D12" s="74"/>
      <c r="E12" s="74"/>
      <c r="F12" s="74"/>
      <c r="G12" s="74"/>
      <c r="H12" s="74"/>
      <c r="I12" s="74"/>
      <c r="J12" s="74"/>
    </row>
    <row r="13" spans="1:10" x14ac:dyDescent="0.3">
      <c r="B13" s="69"/>
      <c r="C13" s="69"/>
      <c r="D13" s="69"/>
      <c r="E13" s="69"/>
      <c r="F13" s="69"/>
      <c r="G13" s="69"/>
      <c r="H13" s="69"/>
      <c r="I13" s="69"/>
      <c r="J13" s="69"/>
    </row>
    <row r="14" spans="1:10" ht="30" customHeight="1" x14ac:dyDescent="0.3">
      <c r="A14" s="68" t="s">
        <v>208</v>
      </c>
      <c r="B14" s="74" t="s">
        <v>211</v>
      </c>
      <c r="C14" s="74"/>
      <c r="D14" s="74"/>
      <c r="E14" s="74"/>
      <c r="F14" s="74"/>
      <c r="G14" s="74"/>
      <c r="H14" s="74"/>
      <c r="I14" s="74"/>
      <c r="J14" s="74"/>
    </row>
    <row r="15" spans="1:10" x14ac:dyDescent="0.3">
      <c r="B15" s="69"/>
      <c r="C15" s="69"/>
      <c r="D15" s="69"/>
      <c r="E15" s="69"/>
      <c r="F15" s="69"/>
      <c r="G15" s="69"/>
      <c r="H15" s="69"/>
      <c r="I15" s="69"/>
      <c r="J15" s="69"/>
    </row>
    <row r="16" spans="1:10" ht="60" customHeight="1" x14ac:dyDescent="0.3">
      <c r="A16" s="68" t="s">
        <v>208</v>
      </c>
      <c r="B16" s="74" t="s">
        <v>212</v>
      </c>
      <c r="C16" s="74"/>
      <c r="D16" s="74"/>
      <c r="E16" s="74"/>
      <c r="F16" s="74"/>
      <c r="G16" s="74"/>
      <c r="H16" s="74"/>
      <c r="I16" s="74"/>
      <c r="J16" s="74"/>
    </row>
    <row r="17" spans="1:11" x14ac:dyDescent="0.3">
      <c r="B17" s="69"/>
      <c r="C17" s="69"/>
      <c r="D17" s="69"/>
      <c r="E17" s="69"/>
      <c r="F17" s="69"/>
      <c r="G17" s="69"/>
      <c r="H17" s="69"/>
      <c r="I17" s="69"/>
      <c r="J17" s="69"/>
      <c r="K17" s="70"/>
    </row>
    <row r="18" spans="1:11" ht="75" customHeight="1" x14ac:dyDescent="0.3">
      <c r="A18" s="68" t="s">
        <v>208</v>
      </c>
      <c r="B18" s="74" t="s">
        <v>216</v>
      </c>
      <c r="C18" s="74"/>
      <c r="D18" s="74"/>
      <c r="E18" s="74"/>
      <c r="F18" s="74"/>
      <c r="G18" s="74"/>
      <c r="H18" s="74"/>
      <c r="I18" s="74"/>
      <c r="J18" s="74"/>
    </row>
    <row r="19" spans="1:11" x14ac:dyDescent="0.3">
      <c r="B19" s="71" t="s">
        <v>213</v>
      </c>
      <c r="C19" s="72"/>
      <c r="D19" s="72"/>
      <c r="E19" s="72"/>
      <c r="F19" s="72"/>
      <c r="G19" s="72"/>
      <c r="H19" s="72"/>
      <c r="I19" s="72"/>
      <c r="J19" s="72"/>
    </row>
    <row r="22" spans="1:11" x14ac:dyDescent="0.3">
      <c r="B22" s="75" t="s">
        <v>214</v>
      </c>
      <c r="C22" s="75"/>
      <c r="D22" s="76" t="s">
        <v>218</v>
      </c>
      <c r="E22" s="76"/>
      <c r="F22" s="76"/>
      <c r="G22" s="76"/>
      <c r="H22" s="77" t="s">
        <v>215</v>
      </c>
      <c r="I22" s="77"/>
      <c r="J22" s="77"/>
    </row>
  </sheetData>
  <mergeCells count="10">
    <mergeCell ref="B18:J18"/>
    <mergeCell ref="B22:C22"/>
    <mergeCell ref="D22:G22"/>
    <mergeCell ref="H22:J22"/>
    <mergeCell ref="A6:J6"/>
    <mergeCell ref="A8:J8"/>
    <mergeCell ref="B10:J10"/>
    <mergeCell ref="B12:J12"/>
    <mergeCell ref="B14:J14"/>
    <mergeCell ref="B16:J16"/>
  </mergeCells>
  <hyperlinks>
    <hyperlink ref="B19" r:id="rId1" xr:uid="{1EA28B4A-DDAF-42DD-BE05-C3A85DE73F0D}"/>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313E2-2427-42EA-A080-07A14958909B}">
  <sheetPr>
    <tabColor theme="5" tint="0.39997558519241921"/>
  </sheetPr>
  <dimension ref="A1:H20"/>
  <sheetViews>
    <sheetView zoomScale="115" zoomScaleNormal="115" workbookViewId="0"/>
  </sheetViews>
  <sheetFormatPr defaultRowHeight="14.4" x14ac:dyDescent="0.3"/>
  <cols>
    <col min="2" max="2" width="11.21875" customWidth="1"/>
    <col min="3" max="8" width="18.109375" customWidth="1"/>
    <col min="9" max="14" width="12.77734375" customWidth="1"/>
  </cols>
  <sheetData>
    <row r="1" spans="1:8" x14ac:dyDescent="0.3">
      <c r="A1" s="73" t="s">
        <v>217</v>
      </c>
    </row>
    <row r="3" spans="1:8" x14ac:dyDescent="0.3">
      <c r="A3" s="10" t="s">
        <v>7</v>
      </c>
    </row>
    <row r="4" spans="1:8" x14ac:dyDescent="0.3">
      <c r="A4" t="s">
        <v>163</v>
      </c>
    </row>
    <row r="7" spans="1:8" x14ac:dyDescent="0.3">
      <c r="B7" s="9" t="s">
        <v>6</v>
      </c>
      <c r="C7" s="8"/>
      <c r="D7" s="8"/>
      <c r="E7" s="8"/>
      <c r="F7" s="8"/>
      <c r="G7" s="8"/>
      <c r="H7" s="7"/>
    </row>
    <row r="8" spans="1:8" x14ac:dyDescent="0.3">
      <c r="B8" s="6" t="s">
        <v>162</v>
      </c>
      <c r="C8" s="5"/>
      <c r="D8" s="5"/>
      <c r="E8" s="5"/>
      <c r="F8" s="5"/>
      <c r="G8" s="5"/>
      <c r="H8" s="4"/>
    </row>
    <row r="10" spans="1:8" x14ac:dyDescent="0.3">
      <c r="C10" s="13" t="s">
        <v>203</v>
      </c>
      <c r="D10" s="46"/>
      <c r="E10" s="12"/>
      <c r="F10" s="13" t="s">
        <v>161</v>
      </c>
      <c r="G10" s="46"/>
      <c r="H10" s="12"/>
    </row>
    <row r="11" spans="1:8" ht="28.8" x14ac:dyDescent="0.3">
      <c r="B11" t="s">
        <v>160</v>
      </c>
      <c r="C11" s="59" t="s">
        <v>121</v>
      </c>
      <c r="D11" s="59" t="s">
        <v>159</v>
      </c>
      <c r="E11" s="59" t="s">
        <v>158</v>
      </c>
      <c r="F11" s="59" t="s">
        <v>121</v>
      </c>
      <c r="G11" s="59" t="s">
        <v>159</v>
      </c>
      <c r="H11" s="59" t="s">
        <v>158</v>
      </c>
    </row>
    <row r="12" spans="1:8" x14ac:dyDescent="0.3">
      <c r="B12" t="s">
        <v>128</v>
      </c>
      <c r="C12" s="28">
        <v>8250000</v>
      </c>
      <c r="D12" s="28">
        <v>1750000</v>
      </c>
      <c r="E12" s="28">
        <v>100000</v>
      </c>
      <c r="F12" s="28">
        <v>4000000</v>
      </c>
      <c r="G12" s="28">
        <v>10000000</v>
      </c>
      <c r="H12" s="28">
        <v>500000</v>
      </c>
    </row>
    <row r="13" spans="1:8" x14ac:dyDescent="0.3">
      <c r="B13" t="s">
        <v>129</v>
      </c>
      <c r="C13" s="28">
        <v>8500000</v>
      </c>
      <c r="D13" s="28">
        <v>2500000</v>
      </c>
      <c r="E13" s="28">
        <v>175000</v>
      </c>
      <c r="F13" s="28">
        <v>3500000</v>
      </c>
      <c r="G13" s="28">
        <v>9000000</v>
      </c>
      <c r="H13" s="28">
        <v>450000</v>
      </c>
    </row>
    <row r="14" spans="1:8" x14ac:dyDescent="0.3">
      <c r="B14" t="s">
        <v>127</v>
      </c>
      <c r="C14" s="28">
        <v>8750000</v>
      </c>
      <c r="D14" s="28">
        <v>3250000</v>
      </c>
      <c r="E14" s="28">
        <v>150000</v>
      </c>
      <c r="F14" s="28">
        <v>3250000</v>
      </c>
      <c r="G14" s="28">
        <v>8000000</v>
      </c>
      <c r="H14" s="28">
        <v>375000</v>
      </c>
    </row>
    <row r="15" spans="1:8" x14ac:dyDescent="0.3">
      <c r="B15" t="s">
        <v>157</v>
      </c>
      <c r="C15" s="28">
        <v>9000000</v>
      </c>
      <c r="D15" s="28">
        <v>3500000</v>
      </c>
      <c r="E15" s="28">
        <f>D15*0.05</f>
        <v>175000</v>
      </c>
      <c r="F15" s="28">
        <v>2500000</v>
      </c>
      <c r="G15" s="28">
        <v>7000000</v>
      </c>
      <c r="H15" s="28">
        <f>G15*0.05</f>
        <v>350000</v>
      </c>
    </row>
    <row r="17" spans="1:2" x14ac:dyDescent="0.3">
      <c r="A17" t="s">
        <v>1</v>
      </c>
      <c r="B17" t="s">
        <v>156</v>
      </c>
    </row>
    <row r="18" spans="1:2" x14ac:dyDescent="0.3">
      <c r="B18" t="s">
        <v>155</v>
      </c>
    </row>
    <row r="20" spans="1:2" x14ac:dyDescent="0.3">
      <c r="B20" t="s">
        <v>154</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53CF9-DFC6-4982-827A-030CB9B6302E}">
  <sheetPr>
    <tabColor theme="9" tint="0.59999389629810485"/>
  </sheetPr>
  <dimension ref="A1:I26"/>
  <sheetViews>
    <sheetView zoomScale="115" zoomScaleNormal="115" workbookViewId="0">
      <selection activeCell="E38" sqref="E38"/>
    </sheetView>
  </sheetViews>
  <sheetFormatPr defaultRowHeight="14.4" x14ac:dyDescent="0.3"/>
  <cols>
    <col min="2" max="2" width="11.21875" customWidth="1"/>
    <col min="3" max="8" width="18.109375" customWidth="1"/>
    <col min="9" max="14" width="12.77734375" customWidth="1"/>
  </cols>
  <sheetData>
    <row r="1" spans="1:8" x14ac:dyDescent="0.3">
      <c r="A1" s="73" t="s">
        <v>217</v>
      </c>
    </row>
    <row r="3" spans="1:8" x14ac:dyDescent="0.3">
      <c r="A3" s="10" t="s">
        <v>7</v>
      </c>
    </row>
    <row r="4" spans="1:8" x14ac:dyDescent="0.3">
      <c r="A4" t="s">
        <v>163</v>
      </c>
    </row>
    <row r="7" spans="1:8" x14ac:dyDescent="0.3">
      <c r="B7" s="9" t="s">
        <v>6</v>
      </c>
      <c r="C7" s="8"/>
      <c r="D7" s="8"/>
      <c r="E7" s="8"/>
      <c r="F7" s="8"/>
      <c r="G7" s="8"/>
      <c r="H7" s="7"/>
    </row>
    <row r="8" spans="1:8" x14ac:dyDescent="0.3">
      <c r="B8" s="6" t="s">
        <v>162</v>
      </c>
      <c r="C8" s="5"/>
      <c r="D8" s="5"/>
      <c r="E8" s="5"/>
      <c r="F8" s="5"/>
      <c r="G8" s="5"/>
      <c r="H8" s="4"/>
    </row>
    <row r="10" spans="1:8" x14ac:dyDescent="0.3">
      <c r="C10" s="13" t="s">
        <v>203</v>
      </c>
      <c r="D10" s="46"/>
      <c r="E10" s="12"/>
      <c r="F10" s="13" t="s">
        <v>161</v>
      </c>
      <c r="G10" s="46"/>
      <c r="H10" s="12"/>
    </row>
    <row r="11" spans="1:8" ht="28.8" x14ac:dyDescent="0.3">
      <c r="B11" t="s">
        <v>160</v>
      </c>
      <c r="C11" s="65" t="s">
        <v>121</v>
      </c>
      <c r="D11" s="65" t="s">
        <v>159</v>
      </c>
      <c r="E11" s="65" t="s">
        <v>158</v>
      </c>
      <c r="F11" s="59" t="s">
        <v>121</v>
      </c>
      <c r="G11" s="59" t="s">
        <v>159</v>
      </c>
      <c r="H11" s="59" t="s">
        <v>158</v>
      </c>
    </row>
    <row r="12" spans="1:8" x14ac:dyDescent="0.3">
      <c r="B12" t="s">
        <v>128</v>
      </c>
      <c r="C12" s="28">
        <v>8250000</v>
      </c>
      <c r="D12" s="28">
        <v>1750000</v>
      </c>
      <c r="E12" s="28">
        <v>100000</v>
      </c>
      <c r="F12" s="28">
        <v>4000000</v>
      </c>
      <c r="G12" s="28">
        <v>10000000</v>
      </c>
      <c r="H12" s="28">
        <v>500000</v>
      </c>
    </row>
    <row r="13" spans="1:8" x14ac:dyDescent="0.3">
      <c r="B13" t="s">
        <v>129</v>
      </c>
      <c r="C13" s="28">
        <v>8500000</v>
      </c>
      <c r="D13" s="28">
        <v>2500000</v>
      </c>
      <c r="E13" s="28">
        <v>175000</v>
      </c>
      <c r="F13" s="28">
        <v>3500000</v>
      </c>
      <c r="G13" s="28">
        <v>9000000</v>
      </c>
      <c r="H13" s="28">
        <v>450000</v>
      </c>
    </row>
    <row r="14" spans="1:8" x14ac:dyDescent="0.3">
      <c r="B14" t="s">
        <v>127</v>
      </c>
      <c r="C14" s="28">
        <v>8750000</v>
      </c>
      <c r="D14" s="28">
        <v>3250000</v>
      </c>
      <c r="E14" s="28">
        <v>150000</v>
      </c>
      <c r="F14" s="28">
        <v>3250000</v>
      </c>
      <c r="G14" s="28">
        <v>8000000</v>
      </c>
      <c r="H14" s="28">
        <v>375000</v>
      </c>
    </row>
    <row r="15" spans="1:8" x14ac:dyDescent="0.3">
      <c r="B15" t="s">
        <v>157</v>
      </c>
      <c r="C15" s="28">
        <v>9000000</v>
      </c>
      <c r="D15" s="28">
        <v>3500000</v>
      </c>
      <c r="E15" s="28">
        <f>D15*0.05</f>
        <v>175000</v>
      </c>
      <c r="F15" s="28">
        <v>2500000</v>
      </c>
      <c r="G15" s="28">
        <v>7000000</v>
      </c>
      <c r="H15" s="28">
        <f>G15*0.05</f>
        <v>350000</v>
      </c>
    </row>
    <row r="17" spans="1:9" x14ac:dyDescent="0.3">
      <c r="A17" t="s">
        <v>1</v>
      </c>
      <c r="B17" t="s">
        <v>156</v>
      </c>
    </row>
    <row r="18" spans="1:9" x14ac:dyDescent="0.3">
      <c r="B18" t="s">
        <v>155</v>
      </c>
    </row>
    <row r="20" spans="1:9" x14ac:dyDescent="0.3">
      <c r="B20" t="s">
        <v>154</v>
      </c>
    </row>
    <row r="22" spans="1:9" ht="29.4" thickBot="1" x14ac:dyDescent="0.35">
      <c r="C22" s="37" t="s">
        <v>175</v>
      </c>
      <c r="D22" s="37" t="s">
        <v>170</v>
      </c>
      <c r="E22" s="37" t="s">
        <v>169</v>
      </c>
      <c r="F22" s="37" t="s">
        <v>204</v>
      </c>
      <c r="G22" s="37" t="s">
        <v>168</v>
      </c>
      <c r="I22" s="14" t="s">
        <v>8</v>
      </c>
    </row>
    <row r="23" spans="1:9" x14ac:dyDescent="0.3">
      <c r="B23" t="str">
        <f>B12</f>
        <v>20X1</v>
      </c>
      <c r="C23" s="28">
        <f>C12+F12</f>
        <v>12250000</v>
      </c>
      <c r="D23" s="28">
        <f>D12+G12</f>
        <v>11750000</v>
      </c>
      <c r="E23" s="28">
        <f>E12+H12</f>
        <v>600000</v>
      </c>
      <c r="F23" s="19">
        <f>(D23+E23)/C23</f>
        <v>1.0081632653061225</v>
      </c>
      <c r="G23" s="60">
        <f>MIN(1,F23)</f>
        <v>1</v>
      </c>
      <c r="I23" t="s">
        <v>167</v>
      </c>
    </row>
    <row r="24" spans="1:9" x14ac:dyDescent="0.3">
      <c r="B24" t="str">
        <f>B13</f>
        <v>20X2</v>
      </c>
      <c r="C24" s="28">
        <f t="shared" ref="C24:C26" si="0">C13+F13</f>
        <v>12000000</v>
      </c>
      <c r="D24" s="28">
        <f t="shared" ref="D24:D26" si="1">D13+G13</f>
        <v>11500000</v>
      </c>
      <c r="E24" s="28">
        <f t="shared" ref="E24:E26" si="2">E13+H13</f>
        <v>625000</v>
      </c>
      <c r="F24" s="19">
        <f>(D24+E24)/C24</f>
        <v>1.0104166666666667</v>
      </c>
      <c r="G24" s="61">
        <f>MIN(1,F24)</f>
        <v>1</v>
      </c>
      <c r="I24" t="s">
        <v>166</v>
      </c>
    </row>
    <row r="25" spans="1:9" x14ac:dyDescent="0.3">
      <c r="B25" t="str">
        <f>B14</f>
        <v>20X3</v>
      </c>
      <c r="C25" s="28">
        <f t="shared" si="0"/>
        <v>12000000</v>
      </c>
      <c r="D25" s="28">
        <f t="shared" si="1"/>
        <v>11250000</v>
      </c>
      <c r="E25" s="28">
        <f t="shared" si="2"/>
        <v>525000</v>
      </c>
      <c r="F25" s="19">
        <f>(D25+E25)/C25</f>
        <v>0.98124999999999996</v>
      </c>
      <c r="G25" s="61">
        <f>MIN(1,F25)</f>
        <v>0.98124999999999996</v>
      </c>
      <c r="I25" t="s">
        <v>165</v>
      </c>
    </row>
    <row r="26" spans="1:9" ht="15" thickBot="1" x14ac:dyDescent="0.35">
      <c r="B26" t="str">
        <f>B15</f>
        <v>20X4</v>
      </c>
      <c r="C26" s="28">
        <f t="shared" si="0"/>
        <v>11500000</v>
      </c>
      <c r="D26" s="28">
        <f t="shared" si="1"/>
        <v>10500000</v>
      </c>
      <c r="E26" s="28">
        <f t="shared" si="2"/>
        <v>525000</v>
      </c>
      <c r="F26" s="19">
        <f>(D26+E26)/C26</f>
        <v>0.95869565217391306</v>
      </c>
      <c r="G26" s="62">
        <f>MIN(1,F26)</f>
        <v>0.95869565217391306</v>
      </c>
      <c r="I26" t="s">
        <v>164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7F619-8DD0-41CC-BD75-FCAF119222D4}">
  <sheetPr>
    <tabColor theme="5" tint="0.39997558519241921"/>
  </sheetPr>
  <dimension ref="A1:M38"/>
  <sheetViews>
    <sheetView zoomScale="115" zoomScaleNormal="115" workbookViewId="0"/>
  </sheetViews>
  <sheetFormatPr defaultRowHeight="14.4" x14ac:dyDescent="0.3"/>
  <cols>
    <col min="2" max="2" width="17.5546875" customWidth="1"/>
    <col min="3" max="5" width="12.77734375" customWidth="1"/>
    <col min="6" max="7" width="17.5546875" customWidth="1"/>
    <col min="8" max="9" width="12.77734375" customWidth="1"/>
    <col min="10" max="10" width="14.21875" bestFit="1" customWidth="1"/>
    <col min="11" max="18" width="12.77734375" customWidth="1"/>
    <col min="20" max="21" width="12.77734375" customWidth="1"/>
  </cols>
  <sheetData>
    <row r="1" spans="1:13" x14ac:dyDescent="0.3">
      <c r="A1" s="73" t="s">
        <v>217</v>
      </c>
    </row>
    <row r="3" spans="1:13" x14ac:dyDescent="0.3">
      <c r="A3" s="10" t="s">
        <v>7</v>
      </c>
    </row>
    <row r="4" spans="1:13" x14ac:dyDescent="0.3">
      <c r="A4" t="s">
        <v>48</v>
      </c>
    </row>
    <row r="5" spans="1:13" x14ac:dyDescent="0.3">
      <c r="A5" s="10"/>
    </row>
    <row r="7" spans="1:13" x14ac:dyDescent="0.3">
      <c r="B7" s="9" t="s">
        <v>6</v>
      </c>
      <c r="C7" s="8"/>
      <c r="D7" s="7"/>
      <c r="F7" s="9" t="s">
        <v>5</v>
      </c>
      <c r="G7" s="7"/>
      <c r="I7" s="9" t="s">
        <v>4</v>
      </c>
      <c r="J7" s="8"/>
      <c r="K7" s="8"/>
      <c r="L7" s="8"/>
      <c r="M7" s="7"/>
    </row>
    <row r="8" spans="1:13" ht="43.2" x14ac:dyDescent="0.3">
      <c r="B8" s="6" t="s">
        <v>47</v>
      </c>
      <c r="C8" s="5"/>
      <c r="D8" s="4"/>
      <c r="F8" s="35" t="s">
        <v>46</v>
      </c>
      <c r="G8" s="34"/>
      <c r="I8" s="6" t="s">
        <v>45</v>
      </c>
      <c r="J8" s="5"/>
      <c r="K8" s="5"/>
      <c r="L8" s="5"/>
      <c r="M8" s="4"/>
    </row>
    <row r="9" spans="1:13" x14ac:dyDescent="0.3">
      <c r="B9" s="23"/>
      <c r="C9" s="23"/>
      <c r="D9" s="23"/>
      <c r="E9" s="23"/>
      <c r="F9" s="23"/>
    </row>
    <row r="10" spans="1:13" ht="43.2" x14ac:dyDescent="0.3">
      <c r="B10" s="32" t="s">
        <v>17</v>
      </c>
      <c r="C10" s="11" t="s">
        <v>12</v>
      </c>
      <c r="D10" s="11" t="s">
        <v>11</v>
      </c>
      <c r="F10" s="37" t="s">
        <v>178</v>
      </c>
      <c r="G10" s="37" t="s">
        <v>44</v>
      </c>
      <c r="I10" s="11" t="s">
        <v>2</v>
      </c>
      <c r="J10" s="11" t="s">
        <v>17</v>
      </c>
      <c r="K10" s="11" t="s">
        <v>13</v>
      </c>
      <c r="L10" s="37" t="s">
        <v>43</v>
      </c>
      <c r="M10" s="37" t="s">
        <v>42</v>
      </c>
    </row>
    <row r="11" spans="1:13" x14ac:dyDescent="0.3">
      <c r="B11" s="32" t="s">
        <v>41</v>
      </c>
      <c r="C11" s="33">
        <v>0.4</v>
      </c>
      <c r="D11" s="33">
        <v>0.35</v>
      </c>
      <c r="F11" s="31">
        <v>3000</v>
      </c>
      <c r="G11" s="24">
        <v>0.4</v>
      </c>
      <c r="I11" s="11" t="s">
        <v>26</v>
      </c>
      <c r="J11" s="11">
        <v>52</v>
      </c>
      <c r="K11" s="11" t="s">
        <v>12</v>
      </c>
      <c r="L11" s="28">
        <v>6000</v>
      </c>
      <c r="M11" s="28">
        <v>3000</v>
      </c>
    </row>
    <row r="12" spans="1:13" x14ac:dyDescent="0.3">
      <c r="B12" s="32" t="s">
        <v>40</v>
      </c>
      <c r="C12" s="33">
        <v>0.35</v>
      </c>
      <c r="D12" s="33">
        <v>0.35</v>
      </c>
      <c r="F12" s="31">
        <v>4000</v>
      </c>
      <c r="G12" s="24">
        <v>0.36</v>
      </c>
      <c r="I12" s="11" t="s">
        <v>25</v>
      </c>
      <c r="J12" s="11">
        <v>42</v>
      </c>
      <c r="K12" s="11" t="s">
        <v>11</v>
      </c>
      <c r="L12" s="28">
        <v>5000</v>
      </c>
      <c r="M12" s="28">
        <v>2500</v>
      </c>
    </row>
    <row r="13" spans="1:13" x14ac:dyDescent="0.3">
      <c r="B13" s="32" t="s">
        <v>39</v>
      </c>
      <c r="C13" s="33">
        <v>0.35</v>
      </c>
      <c r="D13" s="33">
        <v>0.35</v>
      </c>
      <c r="F13" s="31">
        <v>5000</v>
      </c>
      <c r="G13" s="24">
        <v>0.28999999999999998</v>
      </c>
      <c r="I13" s="11" t="s">
        <v>24</v>
      </c>
      <c r="J13" s="11">
        <v>25</v>
      </c>
      <c r="K13" s="11" t="s">
        <v>11</v>
      </c>
      <c r="L13" s="28">
        <v>3000</v>
      </c>
      <c r="M13" s="28">
        <v>1500</v>
      </c>
    </row>
    <row r="14" spans="1:13" x14ac:dyDescent="0.3">
      <c r="B14" s="32" t="s">
        <v>38</v>
      </c>
      <c r="C14" s="33">
        <v>0.35</v>
      </c>
      <c r="D14" s="33">
        <v>0.35</v>
      </c>
      <c r="F14" s="31">
        <v>6000</v>
      </c>
      <c r="G14" s="24">
        <v>0.25</v>
      </c>
      <c r="I14" s="11" t="s">
        <v>23</v>
      </c>
      <c r="J14" s="11">
        <v>36</v>
      </c>
      <c r="K14" s="11" t="s">
        <v>12</v>
      </c>
      <c r="L14" s="28">
        <v>4000</v>
      </c>
      <c r="M14" s="28">
        <v>2000</v>
      </c>
    </row>
    <row r="15" spans="1:13" x14ac:dyDescent="0.3">
      <c r="B15" s="32" t="s">
        <v>37</v>
      </c>
      <c r="C15" s="33">
        <v>0.35</v>
      </c>
      <c r="D15" s="33">
        <v>0.35</v>
      </c>
      <c r="F15" s="31">
        <v>7000</v>
      </c>
      <c r="G15" s="24">
        <v>0.2</v>
      </c>
    </row>
    <row r="16" spans="1:13" x14ac:dyDescent="0.3">
      <c r="B16" s="32" t="s">
        <v>36</v>
      </c>
      <c r="C16" s="33">
        <v>0.5</v>
      </c>
      <c r="D16" s="33">
        <v>0.5</v>
      </c>
      <c r="F16" s="3"/>
      <c r="G16" s="1"/>
    </row>
    <row r="17" spans="2:7" x14ac:dyDescent="0.3">
      <c r="B17" s="32" t="s">
        <v>35</v>
      </c>
      <c r="C17" s="33">
        <v>0.55000000000000004</v>
      </c>
      <c r="D17" s="33">
        <v>0.6</v>
      </c>
    </row>
    <row r="18" spans="2:7" x14ac:dyDescent="0.3">
      <c r="B18" s="32" t="s">
        <v>34</v>
      </c>
      <c r="C18" s="33">
        <v>0.6</v>
      </c>
      <c r="D18" s="33">
        <v>0.65</v>
      </c>
      <c r="F18" s="3"/>
      <c r="G18" s="1"/>
    </row>
    <row r="19" spans="2:7" x14ac:dyDescent="0.3">
      <c r="B19" s="32" t="s">
        <v>33</v>
      </c>
      <c r="C19" s="33">
        <v>0.65</v>
      </c>
      <c r="D19" s="33">
        <v>0.7</v>
      </c>
    </row>
    <row r="20" spans="2:7" x14ac:dyDescent="0.3">
      <c r="B20" s="32" t="s">
        <v>32</v>
      </c>
      <c r="C20" s="33">
        <v>0.35</v>
      </c>
      <c r="D20" s="33">
        <v>0.35</v>
      </c>
    </row>
    <row r="22" spans="2:7" x14ac:dyDescent="0.3">
      <c r="B22" s="9" t="s">
        <v>9</v>
      </c>
      <c r="C22" s="7"/>
      <c r="F22" s="9" t="s">
        <v>14</v>
      </c>
      <c r="G22" s="7"/>
    </row>
    <row r="23" spans="2:7" ht="28.8" x14ac:dyDescent="0.3">
      <c r="B23" s="35" t="s">
        <v>31</v>
      </c>
      <c r="C23" s="34"/>
      <c r="F23" s="35" t="s">
        <v>30</v>
      </c>
      <c r="G23" s="34"/>
    </row>
    <row r="25" spans="2:7" x14ac:dyDescent="0.3">
      <c r="B25" s="11" t="s">
        <v>29</v>
      </c>
      <c r="C25" s="11" t="s">
        <v>28</v>
      </c>
      <c r="F25" t="s">
        <v>2</v>
      </c>
      <c r="G25" s="25" t="s">
        <v>27</v>
      </c>
    </row>
    <row r="26" spans="2:7" x14ac:dyDescent="0.3">
      <c r="B26" s="24">
        <v>0.9</v>
      </c>
      <c r="C26" s="32" t="s">
        <v>179</v>
      </c>
      <c r="F26" t="s">
        <v>26</v>
      </c>
      <c r="G26" s="25">
        <v>4500</v>
      </c>
    </row>
    <row r="27" spans="2:7" x14ac:dyDescent="0.3">
      <c r="B27" s="24">
        <v>0.32</v>
      </c>
      <c r="C27" s="32" t="s">
        <v>180</v>
      </c>
      <c r="F27" t="s">
        <v>25</v>
      </c>
      <c r="G27" s="25">
        <v>3500</v>
      </c>
    </row>
    <row r="28" spans="2:7" x14ac:dyDescent="0.3">
      <c r="B28" s="24">
        <v>0.15</v>
      </c>
      <c r="C28" s="11" t="s">
        <v>181</v>
      </c>
      <c r="F28" t="s">
        <v>24</v>
      </c>
      <c r="G28" s="25">
        <v>1200</v>
      </c>
    </row>
    <row r="29" spans="2:7" x14ac:dyDescent="0.3">
      <c r="F29" t="s">
        <v>23</v>
      </c>
      <c r="G29" s="25">
        <v>2500</v>
      </c>
    </row>
    <row r="31" spans="2:7" x14ac:dyDescent="0.3">
      <c r="B31" t="s">
        <v>22</v>
      </c>
    </row>
    <row r="32" spans="2:7" x14ac:dyDescent="0.3">
      <c r="B32" t="s">
        <v>21</v>
      </c>
    </row>
    <row r="34" spans="1:2" x14ac:dyDescent="0.3">
      <c r="A34" t="s">
        <v>1</v>
      </c>
      <c r="B34" t="s">
        <v>20</v>
      </c>
    </row>
    <row r="36" spans="1:2" x14ac:dyDescent="0.3">
      <c r="A36" s="20" t="s">
        <v>19</v>
      </c>
      <c r="B36" t="s">
        <v>177</v>
      </c>
    </row>
    <row r="38" spans="1:2" x14ac:dyDescent="0.3">
      <c r="A38" s="20" t="s">
        <v>18</v>
      </c>
      <c r="B38" t="s">
        <v>176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5C9C7-F191-4D61-9FC2-9BCF158D3F48}">
  <sheetPr>
    <tabColor theme="9" tint="0.59999389629810485"/>
  </sheetPr>
  <dimension ref="A1:M64"/>
  <sheetViews>
    <sheetView zoomScale="115" zoomScaleNormal="115" workbookViewId="0"/>
  </sheetViews>
  <sheetFormatPr defaultRowHeight="14.4" x14ac:dyDescent="0.3"/>
  <cols>
    <col min="2" max="2" width="17.5546875" customWidth="1"/>
    <col min="3" max="3" width="15" customWidth="1"/>
    <col min="4" max="5" width="12.77734375" customWidth="1"/>
    <col min="6" max="7" width="17.5546875" customWidth="1"/>
    <col min="8" max="9" width="12.77734375" customWidth="1"/>
    <col min="10" max="10" width="14.21875" bestFit="1" customWidth="1"/>
    <col min="11" max="18" width="12.77734375" customWidth="1"/>
    <col min="20" max="21" width="12.77734375" customWidth="1"/>
  </cols>
  <sheetData>
    <row r="1" spans="1:13" x14ac:dyDescent="0.3">
      <c r="A1" s="73" t="s">
        <v>217</v>
      </c>
    </row>
    <row r="3" spans="1:13" x14ac:dyDescent="0.3">
      <c r="A3" s="10" t="s">
        <v>7</v>
      </c>
    </row>
    <row r="4" spans="1:13" x14ac:dyDescent="0.3">
      <c r="A4" t="s">
        <v>48</v>
      </c>
    </row>
    <row r="5" spans="1:13" x14ac:dyDescent="0.3">
      <c r="A5" s="10"/>
    </row>
    <row r="7" spans="1:13" x14ac:dyDescent="0.3">
      <c r="B7" s="9" t="s">
        <v>6</v>
      </c>
      <c r="C7" s="8"/>
      <c r="D7" s="7"/>
      <c r="F7" s="9" t="s">
        <v>5</v>
      </c>
      <c r="G7" s="7"/>
      <c r="I7" s="9" t="s">
        <v>4</v>
      </c>
      <c r="J7" s="8"/>
      <c r="K7" s="8"/>
      <c r="L7" s="8"/>
      <c r="M7" s="7"/>
    </row>
    <row r="8" spans="1:13" ht="43.2" x14ac:dyDescent="0.3">
      <c r="B8" s="6" t="s">
        <v>47</v>
      </c>
      <c r="C8" s="5"/>
      <c r="D8" s="4"/>
      <c r="F8" s="35" t="s">
        <v>46</v>
      </c>
      <c r="G8" s="34"/>
      <c r="I8" s="6" t="s">
        <v>45</v>
      </c>
      <c r="J8" s="5"/>
      <c r="K8" s="5"/>
      <c r="L8" s="5"/>
      <c r="M8" s="4"/>
    </row>
    <row r="9" spans="1:13" x14ac:dyDescent="0.3">
      <c r="B9" s="23"/>
      <c r="C9" s="23"/>
      <c r="D9" s="23"/>
      <c r="E9" s="23"/>
      <c r="F9" s="23"/>
    </row>
    <row r="10" spans="1:13" ht="43.2" x14ac:dyDescent="0.3">
      <c r="B10" s="32" t="s">
        <v>17</v>
      </c>
      <c r="C10" s="11" t="s">
        <v>12</v>
      </c>
      <c r="D10" s="11" t="s">
        <v>11</v>
      </c>
      <c r="F10" s="37" t="s">
        <v>178</v>
      </c>
      <c r="G10" s="37" t="s">
        <v>44</v>
      </c>
      <c r="I10" s="11" t="s">
        <v>2</v>
      </c>
      <c r="J10" s="11" t="s">
        <v>17</v>
      </c>
      <c r="K10" s="11" t="s">
        <v>13</v>
      </c>
      <c r="L10" s="37" t="s">
        <v>43</v>
      </c>
      <c r="M10" s="37" t="s">
        <v>42</v>
      </c>
    </row>
    <row r="11" spans="1:13" x14ac:dyDescent="0.3">
      <c r="B11" s="32" t="s">
        <v>41</v>
      </c>
      <c r="C11" s="33">
        <v>0.4</v>
      </c>
      <c r="D11" s="33">
        <v>0.35</v>
      </c>
      <c r="F11" s="31">
        <v>3000</v>
      </c>
      <c r="G11" s="24">
        <v>0.4</v>
      </c>
      <c r="I11" s="11" t="s">
        <v>26</v>
      </c>
      <c r="J11" s="11">
        <v>52</v>
      </c>
      <c r="K11" s="11" t="s">
        <v>12</v>
      </c>
      <c r="L11" s="28">
        <v>6000</v>
      </c>
      <c r="M11" s="28">
        <v>3000</v>
      </c>
    </row>
    <row r="12" spans="1:13" x14ac:dyDescent="0.3">
      <c r="B12" s="32" t="s">
        <v>40</v>
      </c>
      <c r="C12" s="33">
        <v>0.35</v>
      </c>
      <c r="D12" s="33">
        <v>0.35</v>
      </c>
      <c r="F12" s="31">
        <v>4000</v>
      </c>
      <c r="G12" s="24">
        <v>0.36</v>
      </c>
      <c r="I12" s="11" t="s">
        <v>25</v>
      </c>
      <c r="J12" s="11">
        <v>42</v>
      </c>
      <c r="K12" s="11" t="s">
        <v>11</v>
      </c>
      <c r="L12" s="28">
        <v>5000</v>
      </c>
      <c r="M12" s="28">
        <v>2500</v>
      </c>
    </row>
    <row r="13" spans="1:13" x14ac:dyDescent="0.3">
      <c r="B13" s="32" t="s">
        <v>39</v>
      </c>
      <c r="C13" s="33">
        <v>0.35</v>
      </c>
      <c r="D13" s="33">
        <v>0.35</v>
      </c>
      <c r="F13" s="31">
        <v>5000</v>
      </c>
      <c r="G13" s="24">
        <v>0.28999999999999998</v>
      </c>
      <c r="I13" s="11" t="s">
        <v>24</v>
      </c>
      <c r="J13" s="11">
        <v>25</v>
      </c>
      <c r="K13" s="11" t="s">
        <v>11</v>
      </c>
      <c r="L13" s="28">
        <v>3000</v>
      </c>
      <c r="M13" s="28">
        <v>1500</v>
      </c>
    </row>
    <row r="14" spans="1:13" x14ac:dyDescent="0.3">
      <c r="B14" s="32" t="s">
        <v>38</v>
      </c>
      <c r="C14" s="33">
        <v>0.35</v>
      </c>
      <c r="D14" s="33">
        <v>0.35</v>
      </c>
      <c r="F14" s="31">
        <v>6000</v>
      </c>
      <c r="G14" s="24">
        <v>0.25</v>
      </c>
      <c r="I14" s="11" t="s">
        <v>23</v>
      </c>
      <c r="J14" s="11">
        <v>36</v>
      </c>
      <c r="K14" s="11" t="s">
        <v>12</v>
      </c>
      <c r="L14" s="28">
        <v>4000</v>
      </c>
      <c r="M14" s="28">
        <v>2000</v>
      </c>
    </row>
    <row r="15" spans="1:13" x14ac:dyDescent="0.3">
      <c r="B15" s="32" t="s">
        <v>37</v>
      </c>
      <c r="C15" s="33">
        <v>0.35</v>
      </c>
      <c r="D15" s="33">
        <v>0.35</v>
      </c>
      <c r="F15" s="31">
        <v>7000</v>
      </c>
      <c r="G15" s="24">
        <v>0.2</v>
      </c>
    </row>
    <row r="16" spans="1:13" x14ac:dyDescent="0.3">
      <c r="B16" s="32" t="s">
        <v>36</v>
      </c>
      <c r="C16" s="33">
        <v>0.5</v>
      </c>
      <c r="D16" s="33">
        <v>0.5</v>
      </c>
      <c r="F16" s="3"/>
      <c r="G16" s="1"/>
    </row>
    <row r="17" spans="2:7" x14ac:dyDescent="0.3">
      <c r="B17" s="32" t="s">
        <v>35</v>
      </c>
      <c r="C17" s="33">
        <v>0.55000000000000004</v>
      </c>
      <c r="D17" s="33">
        <v>0.6</v>
      </c>
    </row>
    <row r="18" spans="2:7" x14ac:dyDescent="0.3">
      <c r="B18" s="32" t="s">
        <v>34</v>
      </c>
      <c r="C18" s="33">
        <v>0.6</v>
      </c>
      <c r="D18" s="33">
        <v>0.65</v>
      </c>
      <c r="F18" s="3"/>
      <c r="G18" s="1"/>
    </row>
    <row r="19" spans="2:7" x14ac:dyDescent="0.3">
      <c r="B19" s="32" t="s">
        <v>33</v>
      </c>
      <c r="C19" s="33">
        <v>0.65</v>
      </c>
      <c r="D19" s="33">
        <v>0.7</v>
      </c>
    </row>
    <row r="20" spans="2:7" x14ac:dyDescent="0.3">
      <c r="B20" s="32" t="s">
        <v>32</v>
      </c>
      <c r="C20" s="33">
        <v>0.35</v>
      </c>
      <c r="D20" s="33">
        <v>0.35</v>
      </c>
    </row>
    <row r="22" spans="2:7" x14ac:dyDescent="0.3">
      <c r="B22" s="9" t="s">
        <v>9</v>
      </c>
      <c r="C22" s="7"/>
      <c r="F22" s="9" t="s">
        <v>14</v>
      </c>
      <c r="G22" s="7"/>
    </row>
    <row r="23" spans="2:7" ht="28.8" x14ac:dyDescent="0.3">
      <c r="B23" s="35" t="s">
        <v>31</v>
      </c>
      <c r="C23" s="34"/>
      <c r="F23" s="35" t="s">
        <v>30</v>
      </c>
      <c r="G23" s="34"/>
    </row>
    <row r="25" spans="2:7" x14ac:dyDescent="0.3">
      <c r="B25" s="11" t="s">
        <v>29</v>
      </c>
      <c r="C25" s="11" t="s">
        <v>28</v>
      </c>
      <c r="F25" t="s">
        <v>2</v>
      </c>
      <c r="G25" s="25" t="s">
        <v>27</v>
      </c>
    </row>
    <row r="26" spans="2:7" x14ac:dyDescent="0.3">
      <c r="B26" s="24">
        <v>0.9</v>
      </c>
      <c r="C26" s="32" t="s">
        <v>179</v>
      </c>
      <c r="F26" t="s">
        <v>26</v>
      </c>
      <c r="G26" s="25">
        <v>4500</v>
      </c>
    </row>
    <row r="27" spans="2:7" x14ac:dyDescent="0.3">
      <c r="B27" s="24">
        <v>0.32</v>
      </c>
      <c r="C27" s="32" t="s">
        <v>180</v>
      </c>
      <c r="F27" t="s">
        <v>25</v>
      </c>
      <c r="G27" s="25">
        <v>3500</v>
      </c>
    </row>
    <row r="28" spans="2:7" x14ac:dyDescent="0.3">
      <c r="B28" s="24">
        <v>0.15</v>
      </c>
      <c r="C28" s="11" t="s">
        <v>181</v>
      </c>
      <c r="F28" t="s">
        <v>24</v>
      </c>
      <c r="G28" s="25">
        <v>1200</v>
      </c>
    </row>
    <row r="29" spans="2:7" x14ac:dyDescent="0.3">
      <c r="F29" t="s">
        <v>23</v>
      </c>
      <c r="G29" s="25">
        <v>2500</v>
      </c>
    </row>
    <row r="31" spans="2:7" x14ac:dyDescent="0.3">
      <c r="B31" t="s">
        <v>22</v>
      </c>
    </row>
    <row r="32" spans="2:7" x14ac:dyDescent="0.3">
      <c r="B32" t="s">
        <v>21</v>
      </c>
    </row>
    <row r="34" spans="1:9" x14ac:dyDescent="0.3">
      <c r="A34" t="s">
        <v>1</v>
      </c>
      <c r="B34" t="s">
        <v>20</v>
      </c>
    </row>
    <row r="36" spans="1:9" x14ac:dyDescent="0.3">
      <c r="A36" s="20" t="s">
        <v>19</v>
      </c>
      <c r="B36" t="s">
        <v>177</v>
      </c>
    </row>
    <row r="37" spans="1:9" x14ac:dyDescent="0.3">
      <c r="A37" s="20"/>
    </row>
    <row r="38" spans="1:9" ht="43.2" x14ac:dyDescent="0.3">
      <c r="C38" s="37" t="s">
        <v>55</v>
      </c>
      <c r="D38" s="37" t="s">
        <v>54</v>
      </c>
      <c r="E38" s="37" t="s">
        <v>53</v>
      </c>
      <c r="F38" s="37" t="s">
        <v>52</v>
      </c>
      <c r="I38" s="36" t="s">
        <v>8</v>
      </c>
    </row>
    <row r="39" spans="1:9" x14ac:dyDescent="0.3">
      <c r="B39" t="str">
        <f>I11</f>
        <v>Member #1</v>
      </c>
      <c r="C39" s="33">
        <f>C16</f>
        <v>0.5</v>
      </c>
      <c r="D39" s="27">
        <f>L11*G14</f>
        <v>1500</v>
      </c>
      <c r="E39" s="27">
        <f>C39*D39</f>
        <v>750</v>
      </c>
      <c r="F39" s="27">
        <f>M11-E39</f>
        <v>2250</v>
      </c>
      <c r="I39" t="s">
        <v>67</v>
      </c>
    </row>
    <row r="40" spans="1:9" x14ac:dyDescent="0.3">
      <c r="B40" t="str">
        <f>I12</f>
        <v>Member #2</v>
      </c>
      <c r="C40" s="33">
        <f>D14</f>
        <v>0.35</v>
      </c>
      <c r="D40" s="27">
        <f>L12*G13</f>
        <v>1450</v>
      </c>
      <c r="E40" s="27">
        <f>C40*D40</f>
        <v>507.49999999999994</v>
      </c>
      <c r="F40" s="27">
        <f>M12-E40</f>
        <v>1992.5</v>
      </c>
      <c r="I40" t="s">
        <v>66</v>
      </c>
    </row>
    <row r="41" spans="1:9" x14ac:dyDescent="0.3">
      <c r="B41" t="str">
        <f>I13</f>
        <v>Member #3</v>
      </c>
      <c r="C41" s="33">
        <f>D11</f>
        <v>0.35</v>
      </c>
      <c r="D41" s="27">
        <f>L13*G11</f>
        <v>1200</v>
      </c>
      <c r="E41" s="27">
        <f>C41*D41</f>
        <v>420</v>
      </c>
      <c r="F41" s="27">
        <f>M13-E41</f>
        <v>1080</v>
      </c>
      <c r="I41" t="s">
        <v>65</v>
      </c>
    </row>
    <row r="42" spans="1:9" x14ac:dyDescent="0.3">
      <c r="B42" t="str">
        <f>I14</f>
        <v>Member #4</v>
      </c>
      <c r="C42" s="33">
        <f>C13</f>
        <v>0.35</v>
      </c>
      <c r="D42" s="27">
        <f>L14*G12</f>
        <v>1440</v>
      </c>
      <c r="E42" s="27">
        <f>C42*D42</f>
        <v>503.99999999999994</v>
      </c>
      <c r="F42" s="27">
        <f>M14-E42</f>
        <v>1496</v>
      </c>
      <c r="I42" t="s">
        <v>64</v>
      </c>
    </row>
    <row r="43" spans="1:9" ht="15" thickBot="1" x14ac:dyDescent="0.35">
      <c r="C43" s="11"/>
      <c r="D43" s="27"/>
      <c r="E43" s="27"/>
      <c r="F43" s="27"/>
    </row>
    <row r="44" spans="1:9" ht="15" thickBot="1" x14ac:dyDescent="0.35">
      <c r="C44" s="11"/>
      <c r="D44" s="27"/>
      <c r="E44" s="27" t="s">
        <v>49</v>
      </c>
      <c r="F44" s="38">
        <f>SUM(F39:F42)*12</f>
        <v>81822</v>
      </c>
      <c r="I44" t="s">
        <v>63</v>
      </c>
    </row>
    <row r="46" spans="1:9" x14ac:dyDescent="0.3">
      <c r="A46" s="20" t="s">
        <v>18</v>
      </c>
      <c r="B46" t="s">
        <v>176</v>
      </c>
    </row>
    <row r="48" spans="1:9" x14ac:dyDescent="0.3">
      <c r="B48" t="s">
        <v>28</v>
      </c>
      <c r="C48" s="28">
        <v>0</v>
      </c>
      <c r="D48" s="28">
        <v>1000</v>
      </c>
      <c r="E48" s="28">
        <v>4000</v>
      </c>
      <c r="I48" s="36" t="s">
        <v>8</v>
      </c>
    </row>
    <row r="49" spans="2:9" x14ac:dyDescent="0.3">
      <c r="B49" t="s">
        <v>29</v>
      </c>
      <c r="C49" s="24">
        <v>0.9</v>
      </c>
      <c r="D49" s="24">
        <v>0.32</v>
      </c>
      <c r="E49" s="24">
        <v>0.15</v>
      </c>
      <c r="I49" t="s">
        <v>62</v>
      </c>
    </row>
    <row r="51" spans="2:9" x14ac:dyDescent="0.3">
      <c r="C51" s="11" t="s">
        <v>61</v>
      </c>
      <c r="D51" s="11" t="s">
        <v>60</v>
      </c>
      <c r="E51" s="11" t="s">
        <v>59</v>
      </c>
      <c r="F51" s="11" t="s">
        <v>182</v>
      </c>
      <c r="G51" s="11" t="s">
        <v>58</v>
      </c>
    </row>
    <row r="52" spans="2:9" x14ac:dyDescent="0.3">
      <c r="B52" t="s">
        <v>26</v>
      </c>
      <c r="C52" s="27">
        <f>MAX(0,$G26-C$48)-D52-E52</f>
        <v>1000</v>
      </c>
      <c r="D52" s="27">
        <f t="shared" ref="D52" si="0">MAX(0,$G26-D$48)-E52</f>
        <v>3000</v>
      </c>
      <c r="E52" s="27">
        <f>MAX(0,$G26-E$48)</f>
        <v>500</v>
      </c>
      <c r="F52" s="27">
        <f>SUM(C52:E52)-G26</f>
        <v>0</v>
      </c>
      <c r="G52" s="27">
        <f>SUMPRODUCT($C$49:$E$49,C52:E52)</f>
        <v>1935</v>
      </c>
      <c r="I52" t="s">
        <v>57</v>
      </c>
    </row>
    <row r="53" spans="2:9" x14ac:dyDescent="0.3">
      <c r="B53" t="s">
        <v>25</v>
      </c>
      <c r="C53" s="27">
        <f t="shared" ref="C53:C55" si="1">MAX(0,$G27-C$48)-D53-E53</f>
        <v>1000</v>
      </c>
      <c r="D53" s="27">
        <f t="shared" ref="D53:D55" si="2">MAX(0,$G27-D$48)-E53</f>
        <v>2500</v>
      </c>
      <c r="E53" s="27">
        <f t="shared" ref="E53:E55" si="3">MAX(0,$G27-E$48)</f>
        <v>0</v>
      </c>
      <c r="F53" s="27">
        <f t="shared" ref="F53:F55" si="4">SUM(C53:E53)-G27</f>
        <v>0</v>
      </c>
      <c r="G53" s="27">
        <f>SUMPRODUCT($C$49:$E$49,C53:E53)</f>
        <v>1700</v>
      </c>
      <c r="I53" t="s">
        <v>56</v>
      </c>
    </row>
    <row r="54" spans="2:9" x14ac:dyDescent="0.3">
      <c r="B54" t="s">
        <v>24</v>
      </c>
      <c r="C54" s="27">
        <f t="shared" si="1"/>
        <v>1000</v>
      </c>
      <c r="D54" s="27">
        <f t="shared" si="2"/>
        <v>200</v>
      </c>
      <c r="E54" s="27">
        <f t="shared" si="3"/>
        <v>0</v>
      </c>
      <c r="F54" s="27">
        <f t="shared" si="4"/>
        <v>0</v>
      </c>
      <c r="G54" s="27">
        <f>SUMPRODUCT($C$49:$E$49,C54:E54)</f>
        <v>964</v>
      </c>
    </row>
    <row r="55" spans="2:9" x14ac:dyDescent="0.3">
      <c r="B55" t="s">
        <v>23</v>
      </c>
      <c r="C55" s="27">
        <f t="shared" si="1"/>
        <v>1000</v>
      </c>
      <c r="D55" s="27">
        <f t="shared" si="2"/>
        <v>1500</v>
      </c>
      <c r="E55" s="27">
        <f t="shared" si="3"/>
        <v>0</v>
      </c>
      <c r="F55" s="27">
        <f t="shared" si="4"/>
        <v>0</v>
      </c>
      <c r="G55" s="27">
        <f>SUMPRODUCT($C$49:$E$49,C55:E55)</f>
        <v>1380</v>
      </c>
    </row>
    <row r="58" spans="2:9" ht="43.2" x14ac:dyDescent="0.3">
      <c r="C58" s="37" t="s">
        <v>55</v>
      </c>
      <c r="D58" s="37" t="s">
        <v>54</v>
      </c>
      <c r="E58" s="37" t="s">
        <v>53</v>
      </c>
      <c r="F58" s="37" t="s">
        <v>52</v>
      </c>
    </row>
    <row r="59" spans="2:9" x14ac:dyDescent="0.3">
      <c r="B59" t="str">
        <f t="shared" ref="B59:C62" si="5">B39</f>
        <v>Member #1</v>
      </c>
      <c r="C59" s="33">
        <f>C39</f>
        <v>0.5</v>
      </c>
      <c r="D59" s="27">
        <f>G52</f>
        <v>1935</v>
      </c>
      <c r="E59" s="27">
        <f>C59*D59</f>
        <v>967.5</v>
      </c>
      <c r="F59" s="27">
        <f>M11-E59</f>
        <v>2032.5</v>
      </c>
      <c r="I59" t="s">
        <v>51</v>
      </c>
    </row>
    <row r="60" spans="2:9" x14ac:dyDescent="0.3">
      <c r="B60" t="str">
        <f t="shared" si="5"/>
        <v>Member #2</v>
      </c>
      <c r="C60" s="33">
        <f t="shared" si="5"/>
        <v>0.35</v>
      </c>
      <c r="D60" s="27">
        <f>G53</f>
        <v>1700</v>
      </c>
      <c r="E60" s="27">
        <f>C60*D60</f>
        <v>595</v>
      </c>
      <c r="F60" s="27">
        <f>M12-E60</f>
        <v>1905</v>
      </c>
      <c r="I60" t="s">
        <v>50</v>
      </c>
    </row>
    <row r="61" spans="2:9" x14ac:dyDescent="0.3">
      <c r="B61" t="str">
        <f t="shared" si="5"/>
        <v>Member #3</v>
      </c>
      <c r="C61" s="33">
        <f t="shared" si="5"/>
        <v>0.35</v>
      </c>
      <c r="D61" s="27">
        <f>G54</f>
        <v>964</v>
      </c>
      <c r="E61" s="27">
        <f>C61*D61</f>
        <v>337.4</v>
      </c>
      <c r="F61" s="27">
        <f>M13-E61</f>
        <v>1162.5999999999999</v>
      </c>
    </row>
    <row r="62" spans="2:9" x14ac:dyDescent="0.3">
      <c r="B62" t="str">
        <f t="shared" si="5"/>
        <v>Member #4</v>
      </c>
      <c r="C62" s="33">
        <f t="shared" si="5"/>
        <v>0.35</v>
      </c>
      <c r="D62" s="27">
        <f>G55</f>
        <v>1380</v>
      </c>
      <c r="E62" s="27">
        <f>C62*D62</f>
        <v>482.99999999999994</v>
      </c>
      <c r="F62" s="27">
        <f>M14-E62</f>
        <v>1517</v>
      </c>
    </row>
    <row r="63" spans="2:9" ht="15" thickBot="1" x14ac:dyDescent="0.35">
      <c r="C63" s="11"/>
      <c r="D63" s="27"/>
      <c r="E63" s="27"/>
      <c r="F63" s="27"/>
    </row>
    <row r="64" spans="2:9" ht="15" thickBot="1" x14ac:dyDescent="0.35">
      <c r="C64" s="11"/>
      <c r="D64" s="27"/>
      <c r="E64" s="27" t="s">
        <v>49</v>
      </c>
      <c r="F64" s="38">
        <f>SUM(F59:F62)*12</f>
        <v>79405.200000000012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D2AE7-4A1B-466D-8080-FD77C7E3E96B}">
  <sheetPr>
    <tabColor theme="5" tint="0.39997558519241921"/>
  </sheetPr>
  <dimension ref="A1:D21"/>
  <sheetViews>
    <sheetView zoomScale="115" zoomScaleNormal="115" workbookViewId="0"/>
  </sheetViews>
  <sheetFormatPr defaultRowHeight="14.4" x14ac:dyDescent="0.3"/>
  <cols>
    <col min="2" max="2" width="26.5546875" customWidth="1"/>
    <col min="3" max="4" width="15.77734375" bestFit="1" customWidth="1"/>
    <col min="5" max="5" width="11.5546875" customWidth="1"/>
    <col min="6" max="6" width="12.77734375" customWidth="1"/>
  </cols>
  <sheetData>
    <row r="1" spans="1:4" x14ac:dyDescent="0.3">
      <c r="A1" s="73" t="s">
        <v>217</v>
      </c>
    </row>
    <row r="3" spans="1:4" x14ac:dyDescent="0.3">
      <c r="A3" s="10" t="s">
        <v>7</v>
      </c>
    </row>
    <row r="4" spans="1:4" x14ac:dyDescent="0.3">
      <c r="A4" t="s">
        <v>80</v>
      </c>
    </row>
    <row r="5" spans="1:4" x14ac:dyDescent="0.3">
      <c r="A5" s="10"/>
    </row>
    <row r="7" spans="1:4" x14ac:dyDescent="0.3">
      <c r="B7" s="9" t="s">
        <v>6</v>
      </c>
      <c r="C7" s="9"/>
      <c r="D7" s="7"/>
    </row>
    <row r="8" spans="1:4" ht="15" customHeight="1" x14ac:dyDescent="0.3">
      <c r="B8" s="35" t="s">
        <v>79</v>
      </c>
      <c r="C8" s="35"/>
      <c r="D8" s="4"/>
    </row>
    <row r="9" spans="1:4" x14ac:dyDescent="0.3">
      <c r="C9" s="25" t="s">
        <v>10</v>
      </c>
      <c r="D9" s="25" t="s">
        <v>78</v>
      </c>
    </row>
    <row r="10" spans="1:4" x14ac:dyDescent="0.3">
      <c r="C10" s="25" t="s">
        <v>77</v>
      </c>
      <c r="D10" s="25" t="s">
        <v>76</v>
      </c>
    </row>
    <row r="11" spans="1:4" x14ac:dyDescent="0.3">
      <c r="B11" t="s">
        <v>75</v>
      </c>
      <c r="C11" s="25">
        <v>10000000</v>
      </c>
      <c r="D11" s="25">
        <v>5000000</v>
      </c>
    </row>
    <row r="12" spans="1:4" x14ac:dyDescent="0.3">
      <c r="B12" t="s">
        <v>74</v>
      </c>
      <c r="C12" s="25">
        <v>2000000</v>
      </c>
      <c r="D12" s="25">
        <v>1000000</v>
      </c>
    </row>
    <row r="13" spans="1:4" x14ac:dyDescent="0.3">
      <c r="B13" t="s">
        <v>73</v>
      </c>
      <c r="C13" s="25">
        <v>5500000</v>
      </c>
      <c r="D13" s="25">
        <v>8000000</v>
      </c>
    </row>
    <row r="15" spans="1:4" x14ac:dyDescent="0.3">
      <c r="B15" t="s">
        <v>72</v>
      </c>
    </row>
    <row r="16" spans="1:4" x14ac:dyDescent="0.3">
      <c r="B16" t="s">
        <v>71</v>
      </c>
    </row>
    <row r="17" spans="1:2" x14ac:dyDescent="0.3">
      <c r="B17" t="s">
        <v>70</v>
      </c>
    </row>
    <row r="19" spans="1:2" x14ac:dyDescent="0.3">
      <c r="A19" t="s">
        <v>1</v>
      </c>
      <c r="B19" t="s">
        <v>69</v>
      </c>
    </row>
    <row r="21" spans="1:2" x14ac:dyDescent="0.3">
      <c r="A21" t="s">
        <v>0</v>
      </c>
      <c r="B21" s="2" t="s">
        <v>68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A952-0A4D-4076-9A3A-2656DCB2FFDF}">
  <sheetPr>
    <tabColor theme="9" tint="0.59999389629810485"/>
  </sheetPr>
  <dimension ref="A1:K42"/>
  <sheetViews>
    <sheetView zoomScale="115" zoomScaleNormal="115" workbookViewId="0"/>
  </sheetViews>
  <sheetFormatPr defaultRowHeight="14.4" x14ac:dyDescent="0.3"/>
  <cols>
    <col min="2" max="2" width="26.5546875" customWidth="1"/>
    <col min="3" max="4" width="15.77734375" bestFit="1" customWidth="1"/>
    <col min="5" max="5" width="11.5546875" customWidth="1"/>
    <col min="6" max="6" width="12.77734375" customWidth="1"/>
  </cols>
  <sheetData>
    <row r="1" spans="1:4" x14ac:dyDescent="0.3">
      <c r="A1" s="73" t="s">
        <v>217</v>
      </c>
    </row>
    <row r="3" spans="1:4" x14ac:dyDescent="0.3">
      <c r="A3" s="10" t="s">
        <v>7</v>
      </c>
    </row>
    <row r="4" spans="1:4" x14ac:dyDescent="0.3">
      <c r="A4" t="s">
        <v>80</v>
      </c>
    </row>
    <row r="5" spans="1:4" x14ac:dyDescent="0.3">
      <c r="A5" s="10"/>
    </row>
    <row r="7" spans="1:4" x14ac:dyDescent="0.3">
      <c r="B7" s="9" t="s">
        <v>6</v>
      </c>
      <c r="C7" s="9"/>
      <c r="D7" s="7"/>
    </row>
    <row r="8" spans="1:4" ht="15" customHeight="1" x14ac:dyDescent="0.3">
      <c r="B8" s="35" t="s">
        <v>79</v>
      </c>
      <c r="C8" s="35"/>
      <c r="D8" s="4"/>
    </row>
    <row r="9" spans="1:4" x14ac:dyDescent="0.3">
      <c r="C9" s="25" t="s">
        <v>10</v>
      </c>
      <c r="D9" s="25" t="s">
        <v>78</v>
      </c>
    </row>
    <row r="10" spans="1:4" x14ac:dyDescent="0.3">
      <c r="C10" s="25" t="s">
        <v>77</v>
      </c>
      <c r="D10" s="25" t="s">
        <v>76</v>
      </c>
    </row>
    <row r="11" spans="1:4" x14ac:dyDescent="0.3">
      <c r="B11" t="s">
        <v>75</v>
      </c>
      <c r="C11" s="25">
        <v>10000000</v>
      </c>
      <c r="D11" s="25">
        <v>5000000</v>
      </c>
    </row>
    <row r="12" spans="1:4" x14ac:dyDescent="0.3">
      <c r="B12" t="s">
        <v>74</v>
      </c>
      <c r="C12" s="25">
        <v>2000000</v>
      </c>
      <c r="D12" s="25">
        <v>1000000</v>
      </c>
    </row>
    <row r="13" spans="1:4" x14ac:dyDescent="0.3">
      <c r="B13" t="s">
        <v>73</v>
      </c>
      <c r="C13" s="25">
        <v>5500000</v>
      </c>
      <c r="D13" s="25">
        <v>8000000</v>
      </c>
    </row>
    <row r="15" spans="1:4" x14ac:dyDescent="0.3">
      <c r="B15" t="s">
        <v>183</v>
      </c>
    </row>
    <row r="16" spans="1:4" x14ac:dyDescent="0.3">
      <c r="B16" t="s">
        <v>71</v>
      </c>
    </row>
    <row r="17" spans="1:11" x14ac:dyDescent="0.3">
      <c r="B17" t="s">
        <v>70</v>
      </c>
    </row>
    <row r="19" spans="1:11" x14ac:dyDescent="0.3">
      <c r="A19" t="s">
        <v>1</v>
      </c>
      <c r="B19" t="s">
        <v>69</v>
      </c>
    </row>
    <row r="20" spans="1:11" x14ac:dyDescent="0.3">
      <c r="K20" s="14" t="s">
        <v>8</v>
      </c>
    </row>
    <row r="21" spans="1:11" x14ac:dyDescent="0.3">
      <c r="B21" s="18">
        <f>C13+D13</f>
        <v>13500000</v>
      </c>
      <c r="C21" t="s">
        <v>99</v>
      </c>
      <c r="K21" t="s">
        <v>98</v>
      </c>
    </row>
    <row r="22" spans="1:11" x14ac:dyDescent="0.3">
      <c r="B22" s="18"/>
      <c r="K22" t="s">
        <v>97</v>
      </c>
    </row>
    <row r="23" spans="1:11" x14ac:dyDescent="0.3">
      <c r="B23" s="18">
        <f>C11*0.58</f>
        <v>5800000</v>
      </c>
      <c r="C23" t="s">
        <v>96</v>
      </c>
    </row>
    <row r="24" spans="1:11" x14ac:dyDescent="0.3">
      <c r="B24" s="18"/>
    </row>
    <row r="25" spans="1:11" x14ac:dyDescent="0.3">
      <c r="B25" s="18">
        <f>0.85*C12</f>
        <v>1700000</v>
      </c>
      <c r="C25" t="s">
        <v>95</v>
      </c>
    </row>
    <row r="26" spans="1:11" x14ac:dyDescent="0.3">
      <c r="B26" s="18"/>
    </row>
    <row r="27" spans="1:11" x14ac:dyDescent="0.3">
      <c r="B27" s="18">
        <f>D11*0.58</f>
        <v>2900000</v>
      </c>
      <c r="C27" t="s">
        <v>94</v>
      </c>
    </row>
    <row r="28" spans="1:11" x14ac:dyDescent="0.3">
      <c r="B28" s="18"/>
    </row>
    <row r="29" spans="1:11" x14ac:dyDescent="0.3">
      <c r="B29" s="18">
        <f>0.85*D12</f>
        <v>850000</v>
      </c>
      <c r="C29" t="s">
        <v>93</v>
      </c>
    </row>
    <row r="30" spans="1:11" x14ac:dyDescent="0.3">
      <c r="B30" s="18"/>
    </row>
    <row r="31" spans="1:11" ht="15" thickBot="1" x14ac:dyDescent="0.35">
      <c r="B31" s="18">
        <f>SUM(B23,B25,B27,B29)</f>
        <v>11250000</v>
      </c>
      <c r="C31" t="s">
        <v>92</v>
      </c>
      <c r="K31" t="s">
        <v>91</v>
      </c>
    </row>
    <row r="32" spans="1:11" ht="15" thickBot="1" x14ac:dyDescent="0.35">
      <c r="B32" s="39" t="b">
        <f>B21&gt;B31</f>
        <v>1</v>
      </c>
      <c r="K32" t="s">
        <v>90</v>
      </c>
    </row>
    <row r="34" spans="1:9" x14ac:dyDescent="0.3">
      <c r="A34" t="s">
        <v>0</v>
      </c>
      <c r="B34" s="2" t="s">
        <v>68</v>
      </c>
    </row>
    <row r="35" spans="1:9" x14ac:dyDescent="0.3">
      <c r="B35" s="2"/>
    </row>
    <row r="36" spans="1:9" x14ac:dyDescent="0.3">
      <c r="B36" s="2"/>
      <c r="I36" s="14" t="s">
        <v>8</v>
      </c>
    </row>
    <row r="37" spans="1:9" x14ac:dyDescent="0.3">
      <c r="B37" s="18">
        <f>B21-B31</f>
        <v>2250000</v>
      </c>
      <c r="C37" t="s">
        <v>89</v>
      </c>
      <c r="I37" t="s">
        <v>88</v>
      </c>
    </row>
    <row r="38" spans="1:9" x14ac:dyDescent="0.3">
      <c r="B38" s="17">
        <f>B37/0.85</f>
        <v>2647058.823529412</v>
      </c>
      <c r="C38" t="s">
        <v>87</v>
      </c>
      <c r="I38" t="s">
        <v>86</v>
      </c>
    </row>
    <row r="39" spans="1:9" x14ac:dyDescent="0.3">
      <c r="B39" s="17"/>
    </row>
    <row r="40" spans="1:9" ht="15" thickBot="1" x14ac:dyDescent="0.35">
      <c r="B40" s="18">
        <f>SUM(D11:D12)</f>
        <v>6000000</v>
      </c>
      <c r="C40" t="s">
        <v>85</v>
      </c>
      <c r="I40" t="s">
        <v>84</v>
      </c>
    </row>
    <row r="41" spans="1:9" ht="15" thickBot="1" x14ac:dyDescent="0.35">
      <c r="B41" s="39">
        <f>B38/B40</f>
        <v>0.44117647058823534</v>
      </c>
      <c r="C41" t="s">
        <v>83</v>
      </c>
      <c r="I41" t="s">
        <v>82</v>
      </c>
    </row>
    <row r="42" spans="1:9" x14ac:dyDescent="0.3">
      <c r="B42" s="16"/>
      <c r="I42" t="s">
        <v>81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BA9BC-C5A2-4016-B31B-482A287BE03D}">
  <sheetPr>
    <tabColor theme="5" tint="0.39997558519241921"/>
  </sheetPr>
  <dimension ref="A1:O38"/>
  <sheetViews>
    <sheetView zoomScale="115" zoomScaleNormal="115" workbookViewId="0"/>
  </sheetViews>
  <sheetFormatPr defaultRowHeight="14.4" x14ac:dyDescent="0.3"/>
  <cols>
    <col min="2" max="7" width="10.77734375" customWidth="1"/>
    <col min="8" max="9" width="12.77734375" customWidth="1"/>
    <col min="10" max="12" width="11.5546875" customWidth="1"/>
    <col min="13" max="14" width="12.77734375" customWidth="1"/>
    <col min="15" max="15" width="10.77734375" customWidth="1"/>
  </cols>
  <sheetData>
    <row r="1" spans="1:15" x14ac:dyDescent="0.3">
      <c r="A1" s="73" t="s">
        <v>217</v>
      </c>
    </row>
    <row r="3" spans="1:15" x14ac:dyDescent="0.3">
      <c r="A3" s="10" t="s">
        <v>7</v>
      </c>
    </row>
    <row r="4" spans="1:15" x14ac:dyDescent="0.3">
      <c r="A4" t="s">
        <v>107</v>
      </c>
    </row>
    <row r="5" spans="1:15" x14ac:dyDescent="0.3">
      <c r="A5" s="10"/>
    </row>
    <row r="7" spans="1:15" x14ac:dyDescent="0.3">
      <c r="B7" s="9" t="s">
        <v>6</v>
      </c>
      <c r="C7" s="8"/>
      <c r="D7" s="8"/>
      <c r="E7" s="7"/>
      <c r="G7" s="9" t="s">
        <v>5</v>
      </c>
      <c r="H7" s="8"/>
      <c r="I7" s="7"/>
      <c r="K7" s="9" t="s">
        <v>4</v>
      </c>
      <c r="L7" s="8"/>
      <c r="M7" s="7"/>
      <c r="N7" s="26"/>
      <c r="O7" s="26"/>
    </row>
    <row r="8" spans="1:15" x14ac:dyDescent="0.3">
      <c r="B8" s="44" t="s">
        <v>106</v>
      </c>
      <c r="C8" s="23"/>
      <c r="D8" s="23"/>
      <c r="E8" s="43"/>
      <c r="G8" s="44" t="s">
        <v>190</v>
      </c>
      <c r="H8" s="23"/>
      <c r="I8" s="43"/>
      <c r="K8" s="44" t="s">
        <v>105</v>
      </c>
      <c r="L8" s="23"/>
      <c r="M8" s="43"/>
      <c r="N8" s="26"/>
      <c r="O8" s="26"/>
    </row>
    <row r="9" spans="1:15" x14ac:dyDescent="0.3">
      <c r="B9" s="6" t="s">
        <v>104</v>
      </c>
      <c r="C9" s="5"/>
      <c r="D9" s="5"/>
      <c r="E9" s="4"/>
      <c r="G9" s="35" t="s">
        <v>104</v>
      </c>
      <c r="H9" s="42"/>
      <c r="I9" s="34"/>
      <c r="K9" s="35" t="s">
        <v>103</v>
      </c>
      <c r="L9" s="42"/>
      <c r="M9" s="34"/>
      <c r="N9" s="26"/>
      <c r="O9" s="26"/>
    </row>
    <row r="10" spans="1:15" x14ac:dyDescent="0.3">
      <c r="B10" s="26"/>
      <c r="C10" s="26"/>
      <c r="D10" s="26"/>
      <c r="E10" s="26"/>
      <c r="G10" s="26"/>
      <c r="H10" s="26"/>
      <c r="I10" s="26"/>
      <c r="K10" s="26"/>
      <c r="L10" s="26"/>
      <c r="M10" s="26"/>
      <c r="N10" s="26"/>
      <c r="O10" s="26"/>
    </row>
    <row r="11" spans="1:15" ht="28.8" x14ac:dyDescent="0.3">
      <c r="B11" s="37" t="s">
        <v>102</v>
      </c>
      <c r="C11" s="11" t="s">
        <v>11</v>
      </c>
      <c r="D11" s="11" t="s">
        <v>12</v>
      </c>
      <c r="E11" s="11"/>
      <c r="F11" s="11"/>
      <c r="G11" s="37" t="s">
        <v>102</v>
      </c>
      <c r="H11" s="11" t="s">
        <v>11</v>
      </c>
      <c r="I11" s="11" t="s">
        <v>12</v>
      </c>
      <c r="J11" s="11"/>
      <c r="K11" s="37" t="s">
        <v>102</v>
      </c>
      <c r="L11" s="11" t="s">
        <v>11</v>
      </c>
      <c r="M11" s="11" t="s">
        <v>12</v>
      </c>
      <c r="N11" s="26"/>
      <c r="O11" s="26"/>
    </row>
    <row r="12" spans="1:15" x14ac:dyDescent="0.3">
      <c r="B12" s="11">
        <v>1</v>
      </c>
      <c r="C12" s="52">
        <v>7.0000000000000007E-2</v>
      </c>
      <c r="D12" s="52">
        <v>7.5999999999999998E-2</v>
      </c>
      <c r="E12" s="52"/>
      <c r="F12" s="53"/>
      <c r="G12" s="11">
        <v>1</v>
      </c>
      <c r="H12" s="52">
        <v>2E-3</v>
      </c>
      <c r="I12" s="52">
        <v>2E-3</v>
      </c>
      <c r="J12" s="52"/>
      <c r="K12" s="11">
        <v>1</v>
      </c>
      <c r="L12" s="15">
        <v>1550</v>
      </c>
      <c r="M12" s="15">
        <v>1361</v>
      </c>
      <c r="N12" s="2"/>
    </row>
    <row r="13" spans="1:15" x14ac:dyDescent="0.3">
      <c r="B13" s="11">
        <v>2</v>
      </c>
      <c r="C13" s="52">
        <v>6.2E-2</v>
      </c>
      <c r="D13" s="52">
        <v>6.9000000000000006E-2</v>
      </c>
      <c r="E13" s="52"/>
      <c r="F13" s="53"/>
      <c r="G13" s="11">
        <v>2</v>
      </c>
      <c r="H13" s="52">
        <v>3.0000000000000001E-3</v>
      </c>
      <c r="I13" s="52">
        <v>4.0000000000000001E-3</v>
      </c>
      <c r="J13" s="52"/>
      <c r="K13" s="11">
        <v>2</v>
      </c>
      <c r="L13" s="15">
        <v>1216</v>
      </c>
      <c r="M13" s="15">
        <v>1141</v>
      </c>
      <c r="N13" s="2"/>
    </row>
    <row r="14" spans="1:15" x14ac:dyDescent="0.3">
      <c r="B14" s="11">
        <v>3</v>
      </c>
      <c r="C14" s="52">
        <v>5.3999999999999999E-2</v>
      </c>
      <c r="D14" s="52">
        <v>0.06</v>
      </c>
      <c r="E14" s="52"/>
      <c r="F14" s="53"/>
      <c r="G14" s="11">
        <v>3</v>
      </c>
      <c r="H14" s="52">
        <v>3.0000000000000001E-3</v>
      </c>
      <c r="I14" s="52">
        <v>5.0000000000000001E-3</v>
      </c>
      <c r="J14" s="52"/>
      <c r="K14" s="11">
        <v>3</v>
      </c>
      <c r="L14" s="15">
        <v>993</v>
      </c>
      <c r="M14" s="15">
        <v>944</v>
      </c>
      <c r="N14" s="2"/>
    </row>
    <row r="15" spans="1:15" x14ac:dyDescent="0.3">
      <c r="B15" s="11">
        <v>4</v>
      </c>
      <c r="C15" s="52">
        <v>4.2000000000000003E-2</v>
      </c>
      <c r="D15" s="52">
        <v>4.8000000000000001E-2</v>
      </c>
      <c r="E15" s="52"/>
      <c r="F15" s="53"/>
      <c r="G15" s="11">
        <v>4</v>
      </c>
      <c r="H15" s="52">
        <v>4.0000000000000001E-3</v>
      </c>
      <c r="I15" s="52">
        <v>6.0000000000000001E-3</v>
      </c>
      <c r="J15" s="52"/>
      <c r="K15" s="11">
        <v>4</v>
      </c>
      <c r="L15" s="15">
        <v>767</v>
      </c>
      <c r="M15" s="15">
        <v>746</v>
      </c>
      <c r="N15" s="2"/>
    </row>
    <row r="16" spans="1:15" x14ac:dyDescent="0.3">
      <c r="B16" s="11">
        <v>5</v>
      </c>
      <c r="C16" s="52">
        <v>3.9E-2</v>
      </c>
      <c r="D16" s="52">
        <v>0.04</v>
      </c>
      <c r="E16" s="52"/>
      <c r="F16" s="53"/>
      <c r="G16" s="11">
        <v>5</v>
      </c>
      <c r="H16" s="52">
        <v>5.0000000000000001E-3</v>
      </c>
      <c r="I16" s="52">
        <v>8.0000000000000002E-3</v>
      </c>
      <c r="J16" s="52"/>
      <c r="K16" s="11">
        <v>5</v>
      </c>
      <c r="L16" s="15">
        <v>662</v>
      </c>
      <c r="M16" s="15">
        <v>645</v>
      </c>
      <c r="N16" s="2"/>
    </row>
    <row r="17" spans="2:14" x14ac:dyDescent="0.3">
      <c r="B17" s="11">
        <v>6</v>
      </c>
      <c r="C17" s="52">
        <v>3.1E-2</v>
      </c>
      <c r="D17" s="52">
        <v>3.6999999999999998E-2</v>
      </c>
      <c r="E17" s="52"/>
      <c r="F17" s="53"/>
      <c r="G17" s="11">
        <v>6</v>
      </c>
      <c r="H17" s="52">
        <v>6.0000000000000001E-3</v>
      </c>
      <c r="I17" s="52">
        <v>0.01</v>
      </c>
      <c r="J17" s="52"/>
      <c r="K17" s="11">
        <v>6</v>
      </c>
      <c r="L17" s="15">
        <v>569</v>
      </c>
      <c r="M17" s="15">
        <v>586</v>
      </c>
      <c r="N17" s="2"/>
    </row>
    <row r="18" spans="2:14" x14ac:dyDescent="0.3">
      <c r="B18" s="11">
        <v>7</v>
      </c>
      <c r="C18" s="52">
        <v>2.7E-2</v>
      </c>
      <c r="D18" s="52">
        <v>3.1E-2</v>
      </c>
      <c r="E18" s="52"/>
      <c r="F18" s="53"/>
      <c r="G18" s="11">
        <v>7</v>
      </c>
      <c r="H18" s="52">
        <v>8.0000000000000002E-3</v>
      </c>
      <c r="I18" s="52">
        <v>1.2E-2</v>
      </c>
      <c r="J18" s="52"/>
      <c r="K18" s="11">
        <v>7</v>
      </c>
      <c r="L18" s="15">
        <v>514</v>
      </c>
      <c r="M18" s="15">
        <v>493</v>
      </c>
      <c r="N18" s="2"/>
    </row>
    <row r="19" spans="2:14" x14ac:dyDescent="0.3">
      <c r="B19" s="11">
        <v>8</v>
      </c>
      <c r="C19" s="52">
        <v>2.3E-2</v>
      </c>
      <c r="D19" s="52">
        <v>3.1E-2</v>
      </c>
      <c r="E19" s="52"/>
      <c r="F19" s="53"/>
      <c r="G19" s="11">
        <v>8</v>
      </c>
      <c r="H19" s="52">
        <v>8.9999999999999993E-3</v>
      </c>
      <c r="I19" s="52">
        <v>1.4E-2</v>
      </c>
      <c r="J19" s="52"/>
      <c r="K19" s="11">
        <v>8</v>
      </c>
      <c r="L19" s="15">
        <v>458</v>
      </c>
      <c r="M19" s="15">
        <v>509</v>
      </c>
      <c r="N19" s="2"/>
    </row>
    <row r="20" spans="2:14" x14ac:dyDescent="0.3">
      <c r="B20" s="11">
        <v>9</v>
      </c>
      <c r="C20" s="52">
        <v>0.02</v>
      </c>
      <c r="D20" s="52">
        <v>2.1000000000000001E-2</v>
      </c>
      <c r="E20" s="52"/>
      <c r="F20" s="53"/>
      <c r="G20" s="11">
        <v>9</v>
      </c>
      <c r="H20" s="52">
        <v>1.0999999999999999E-2</v>
      </c>
      <c r="I20" s="52">
        <v>1.6E-2</v>
      </c>
      <c r="J20" s="52"/>
      <c r="K20" s="11">
        <v>9</v>
      </c>
      <c r="L20" s="15">
        <v>200</v>
      </c>
      <c r="M20" s="15">
        <v>394</v>
      </c>
      <c r="N20" s="2"/>
    </row>
    <row r="21" spans="2:14" x14ac:dyDescent="0.3">
      <c r="B21" s="11">
        <v>10</v>
      </c>
      <c r="C21" s="52">
        <v>1.7000000000000001E-2</v>
      </c>
      <c r="D21" s="52">
        <v>0.02</v>
      </c>
      <c r="E21" s="52"/>
      <c r="F21" s="53"/>
      <c r="G21" s="11">
        <v>10</v>
      </c>
      <c r="H21" s="52">
        <v>1.2999999999999999E-2</v>
      </c>
      <c r="I21" s="52">
        <v>1.9E-2</v>
      </c>
      <c r="J21" s="52"/>
      <c r="K21" s="11">
        <v>10</v>
      </c>
      <c r="L21" s="15">
        <v>385</v>
      </c>
      <c r="M21" s="15">
        <v>425</v>
      </c>
      <c r="N21" s="2"/>
    </row>
    <row r="22" spans="2:14" x14ac:dyDescent="0.3">
      <c r="B22" s="11">
        <v>11</v>
      </c>
      <c r="C22" s="52">
        <v>1.4999999999999999E-2</v>
      </c>
      <c r="D22" s="52">
        <v>1.9E-2</v>
      </c>
      <c r="E22" s="52"/>
      <c r="F22" s="53"/>
      <c r="G22" s="11">
        <v>11</v>
      </c>
      <c r="H22" s="52">
        <v>1.6E-2</v>
      </c>
      <c r="I22" s="52">
        <v>2.3E-2</v>
      </c>
      <c r="J22" s="52"/>
      <c r="K22" s="11">
        <v>11</v>
      </c>
      <c r="L22" s="15">
        <v>390</v>
      </c>
      <c r="M22" s="15">
        <v>434</v>
      </c>
      <c r="N22" s="2"/>
    </row>
    <row r="23" spans="2:14" x14ac:dyDescent="0.3">
      <c r="B23" s="11">
        <v>12</v>
      </c>
      <c r="C23" s="52">
        <v>1.4E-2</v>
      </c>
      <c r="D23" s="52">
        <v>1.7000000000000001E-2</v>
      </c>
      <c r="E23" s="52"/>
      <c r="F23" s="53"/>
      <c r="G23" s="11">
        <v>12</v>
      </c>
      <c r="H23" s="52">
        <v>1.7999999999999999E-2</v>
      </c>
      <c r="I23" s="52">
        <v>2.7E-2</v>
      </c>
      <c r="J23" s="52"/>
      <c r="K23" s="11">
        <v>12</v>
      </c>
      <c r="L23" s="15">
        <v>395</v>
      </c>
      <c r="M23" s="15">
        <v>428</v>
      </c>
      <c r="N23" s="2"/>
    </row>
    <row r="24" spans="2:14" x14ac:dyDescent="0.3">
      <c r="B24" s="11">
        <v>13</v>
      </c>
      <c r="C24" s="52">
        <v>1.4E-2</v>
      </c>
      <c r="D24" s="52">
        <v>1.7000000000000001E-2</v>
      </c>
      <c r="E24" s="52"/>
      <c r="F24" s="53"/>
      <c r="G24" s="11">
        <v>13</v>
      </c>
      <c r="H24" s="52">
        <v>2.1000000000000001E-2</v>
      </c>
      <c r="I24" s="52">
        <v>3.1E-2</v>
      </c>
      <c r="J24" s="52"/>
      <c r="K24" s="11">
        <v>13</v>
      </c>
      <c r="L24" s="15">
        <v>450</v>
      </c>
      <c r="M24" s="15">
        <v>453</v>
      </c>
      <c r="N24" s="2"/>
    </row>
    <row r="25" spans="2:14" x14ac:dyDescent="0.3">
      <c r="B25" s="11">
        <v>14</v>
      </c>
      <c r="C25" s="52">
        <v>1.4E-2</v>
      </c>
      <c r="D25" s="52">
        <v>1.7000000000000001E-2</v>
      </c>
      <c r="E25" s="52"/>
      <c r="F25" s="37"/>
      <c r="G25" s="11">
        <v>14</v>
      </c>
      <c r="H25" s="52">
        <v>2.4E-2</v>
      </c>
      <c r="I25" s="52">
        <v>3.5000000000000003E-2</v>
      </c>
      <c r="J25" s="52"/>
      <c r="K25" s="11">
        <v>14</v>
      </c>
      <c r="L25" s="15">
        <v>464</v>
      </c>
      <c r="M25" s="15">
        <v>459</v>
      </c>
      <c r="N25" s="2"/>
    </row>
    <row r="26" spans="2:14" x14ac:dyDescent="0.3">
      <c r="B26" s="11">
        <v>15</v>
      </c>
      <c r="C26" s="52">
        <v>1.2E-2</v>
      </c>
      <c r="D26" s="52">
        <v>1.7000000000000001E-2</v>
      </c>
      <c r="E26" s="52"/>
      <c r="F26" s="11"/>
      <c r="G26" s="11">
        <v>15</v>
      </c>
      <c r="H26" s="52">
        <v>2.5999999999999999E-2</v>
      </c>
      <c r="I26" s="52">
        <v>3.9E-2</v>
      </c>
      <c r="J26" s="52"/>
      <c r="K26" s="11">
        <v>15</v>
      </c>
      <c r="L26" s="15">
        <v>478</v>
      </c>
      <c r="M26" s="15">
        <v>438</v>
      </c>
      <c r="N26" s="2"/>
    </row>
    <row r="27" spans="2:14" x14ac:dyDescent="0.3">
      <c r="B27" s="11" t="s">
        <v>101</v>
      </c>
      <c r="C27" s="52">
        <v>0.01</v>
      </c>
      <c r="D27" s="52">
        <v>1.2999999999999999E-2</v>
      </c>
      <c r="E27" s="52"/>
      <c r="F27" s="11"/>
      <c r="G27" s="11">
        <v>16</v>
      </c>
      <c r="H27" s="52">
        <v>2.9000000000000001E-2</v>
      </c>
      <c r="I27" s="52">
        <v>4.2999999999999997E-2</v>
      </c>
      <c r="J27" s="52"/>
      <c r="K27" s="11">
        <v>16</v>
      </c>
      <c r="L27" s="15">
        <v>438</v>
      </c>
      <c r="M27" s="15">
        <v>440</v>
      </c>
      <c r="N27" s="2"/>
    </row>
    <row r="28" spans="2:14" x14ac:dyDescent="0.3">
      <c r="B28" s="11"/>
      <c r="C28" s="52"/>
      <c r="D28" s="52"/>
      <c r="E28" s="52"/>
      <c r="F28" s="11"/>
      <c r="G28" s="11">
        <v>17</v>
      </c>
      <c r="H28" s="52">
        <v>3.1E-2</v>
      </c>
      <c r="I28" s="52">
        <v>4.5999999999999999E-2</v>
      </c>
      <c r="J28" s="11"/>
      <c r="K28" s="11">
        <v>17</v>
      </c>
      <c r="L28" s="15">
        <v>460</v>
      </c>
      <c r="M28" s="15">
        <v>418</v>
      </c>
      <c r="N28" s="2"/>
    </row>
    <row r="29" spans="2:14" x14ac:dyDescent="0.3">
      <c r="B29" s="11"/>
      <c r="C29" s="52"/>
      <c r="D29" s="52"/>
      <c r="E29" s="52"/>
      <c r="F29" s="11"/>
      <c r="G29" s="11">
        <v>18</v>
      </c>
      <c r="H29" s="52">
        <v>3.4000000000000002E-2</v>
      </c>
      <c r="I29" s="52">
        <v>0.05</v>
      </c>
      <c r="J29" s="11"/>
      <c r="K29" s="11">
        <v>18</v>
      </c>
      <c r="L29" s="15">
        <v>504</v>
      </c>
      <c r="M29" s="15">
        <v>398</v>
      </c>
      <c r="N29" s="2"/>
    </row>
    <row r="30" spans="2:14" x14ac:dyDescent="0.3">
      <c r="B30" s="11"/>
      <c r="C30" s="52"/>
      <c r="D30" s="52"/>
      <c r="E30" s="52"/>
      <c r="F30" s="11"/>
      <c r="G30" s="11">
        <v>19</v>
      </c>
      <c r="H30" s="52">
        <v>3.7999999999999999E-2</v>
      </c>
      <c r="I30" s="52">
        <v>5.3999999999999999E-2</v>
      </c>
      <c r="J30" s="11"/>
      <c r="K30" s="11">
        <v>19</v>
      </c>
      <c r="L30" s="15">
        <v>519</v>
      </c>
      <c r="M30" s="15">
        <v>412</v>
      </c>
      <c r="N30" s="2"/>
    </row>
    <row r="31" spans="2:14" x14ac:dyDescent="0.3">
      <c r="B31" s="11"/>
      <c r="C31" s="52"/>
      <c r="D31" s="52"/>
      <c r="E31" s="52"/>
      <c r="F31" s="11"/>
      <c r="G31" s="11">
        <v>20</v>
      </c>
      <c r="H31" s="52">
        <v>0.04</v>
      </c>
      <c r="I31" s="52">
        <v>5.8000000000000003E-2</v>
      </c>
      <c r="J31" s="11"/>
      <c r="K31" s="11">
        <v>20</v>
      </c>
      <c r="L31" s="15">
        <v>535</v>
      </c>
      <c r="M31" s="15">
        <v>438</v>
      </c>
      <c r="N31" s="2"/>
    </row>
    <row r="32" spans="2:14" x14ac:dyDescent="0.3">
      <c r="G32" s="29"/>
      <c r="L32" s="16"/>
    </row>
    <row r="33" spans="1:15" x14ac:dyDescent="0.3">
      <c r="B33" t="s">
        <v>100</v>
      </c>
      <c r="G33" s="29"/>
      <c r="L33" s="16"/>
      <c r="O33" s="22"/>
    </row>
    <row r="34" spans="1:15" x14ac:dyDescent="0.3">
      <c r="B34" t="s">
        <v>171</v>
      </c>
      <c r="G34" s="29"/>
      <c r="L34" s="16"/>
      <c r="O34" s="22"/>
    </row>
    <row r="35" spans="1:15" x14ac:dyDescent="0.3">
      <c r="B35" t="s">
        <v>184</v>
      </c>
      <c r="I35" s="3"/>
      <c r="J35" s="3"/>
      <c r="L35" s="16"/>
      <c r="N35" s="1"/>
      <c r="O35" s="40"/>
    </row>
    <row r="36" spans="1:15" x14ac:dyDescent="0.3">
      <c r="B36" t="s">
        <v>185</v>
      </c>
      <c r="F36" s="20"/>
      <c r="G36" s="29"/>
      <c r="N36" s="1"/>
      <c r="O36" s="40"/>
    </row>
    <row r="37" spans="1:15" x14ac:dyDescent="0.3">
      <c r="F37" s="20"/>
      <c r="G37" s="29"/>
      <c r="N37" s="1"/>
      <c r="O37" s="40"/>
    </row>
    <row r="38" spans="1:15" x14ac:dyDescent="0.3">
      <c r="A38" t="s">
        <v>1</v>
      </c>
      <c r="B38" t="s">
        <v>206</v>
      </c>
      <c r="F38" s="20"/>
      <c r="G38" s="29"/>
      <c r="N38" s="1"/>
      <c r="O38" s="4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6C6FE-F8ED-4152-9817-E0E99177B814}">
  <sheetPr>
    <tabColor theme="9" tint="0.59999389629810485"/>
  </sheetPr>
  <dimension ref="A1:P89"/>
  <sheetViews>
    <sheetView zoomScaleNormal="100" workbookViewId="0"/>
  </sheetViews>
  <sheetFormatPr defaultRowHeight="14.4" x14ac:dyDescent="0.3"/>
  <cols>
    <col min="2" max="7" width="10.77734375" customWidth="1"/>
    <col min="8" max="9" width="12.77734375" customWidth="1"/>
    <col min="10" max="12" width="11.5546875" customWidth="1"/>
    <col min="13" max="14" width="12.77734375" customWidth="1"/>
    <col min="15" max="15" width="10.77734375" customWidth="1"/>
  </cols>
  <sheetData>
    <row r="1" spans="1:16" x14ac:dyDescent="0.3">
      <c r="A1" s="73" t="s">
        <v>217</v>
      </c>
    </row>
    <row r="3" spans="1:16" x14ac:dyDescent="0.3">
      <c r="A3" s="10" t="s">
        <v>7</v>
      </c>
    </row>
    <row r="4" spans="1:16" x14ac:dyDescent="0.3">
      <c r="A4" t="s">
        <v>107</v>
      </c>
    </row>
    <row r="5" spans="1:16" x14ac:dyDescent="0.3">
      <c r="A5" s="10"/>
    </row>
    <row r="7" spans="1:16" x14ac:dyDescent="0.3">
      <c r="B7" s="9" t="s">
        <v>6</v>
      </c>
      <c r="C7" s="8"/>
      <c r="D7" s="8"/>
      <c r="E7" s="7"/>
      <c r="G7" s="9" t="s">
        <v>5</v>
      </c>
      <c r="H7" s="8"/>
      <c r="I7" s="7"/>
      <c r="K7" s="9" t="s">
        <v>4</v>
      </c>
      <c r="L7" s="8"/>
      <c r="M7" s="7"/>
      <c r="N7" s="26"/>
      <c r="O7" s="26"/>
    </row>
    <row r="8" spans="1:16" x14ac:dyDescent="0.3">
      <c r="B8" s="44" t="s">
        <v>106</v>
      </c>
      <c r="C8" s="23"/>
      <c r="D8" s="23"/>
      <c r="E8" s="43"/>
      <c r="G8" s="44" t="s">
        <v>190</v>
      </c>
      <c r="H8" s="23"/>
      <c r="I8" s="43"/>
      <c r="K8" s="44" t="s">
        <v>105</v>
      </c>
      <c r="L8" s="23"/>
      <c r="M8" s="43"/>
      <c r="N8" s="26"/>
      <c r="O8" s="26"/>
    </row>
    <row r="9" spans="1:16" x14ac:dyDescent="0.3">
      <c r="B9" s="6" t="s">
        <v>104</v>
      </c>
      <c r="C9" s="5"/>
      <c r="D9" s="5"/>
      <c r="E9" s="4"/>
      <c r="G9" s="35" t="s">
        <v>104</v>
      </c>
      <c r="H9" s="42"/>
      <c r="I9" s="34"/>
      <c r="K9" s="35" t="s">
        <v>103</v>
      </c>
      <c r="L9" s="42"/>
      <c r="M9" s="34"/>
      <c r="N9" s="26"/>
      <c r="O9" s="26"/>
    </row>
    <row r="10" spans="1:16" x14ac:dyDescent="0.3">
      <c r="B10" s="26"/>
      <c r="C10" s="26"/>
      <c r="D10" s="26"/>
      <c r="E10" s="26"/>
      <c r="G10" s="26"/>
      <c r="H10" s="26"/>
      <c r="I10" s="26"/>
      <c r="K10" s="26"/>
      <c r="L10" s="26"/>
      <c r="M10" s="26"/>
      <c r="N10" s="26"/>
      <c r="O10" s="26"/>
    </row>
    <row r="11" spans="1:16" ht="28.8" x14ac:dyDescent="0.3">
      <c r="B11" s="37" t="s">
        <v>102</v>
      </c>
      <c r="C11" s="11" t="s">
        <v>11</v>
      </c>
      <c r="D11" s="11" t="s">
        <v>12</v>
      </c>
      <c r="E11" s="11"/>
      <c r="F11" s="11"/>
      <c r="G11" s="37" t="s">
        <v>102</v>
      </c>
      <c r="H11" s="11" t="s">
        <v>11</v>
      </c>
      <c r="I11" s="11" t="s">
        <v>12</v>
      </c>
      <c r="J11" s="11"/>
      <c r="K11" s="37" t="s">
        <v>102</v>
      </c>
      <c r="L11" s="11" t="s">
        <v>11</v>
      </c>
      <c r="M11" s="11" t="s">
        <v>12</v>
      </c>
      <c r="N11" s="26"/>
      <c r="O11" s="26"/>
    </row>
    <row r="12" spans="1:16" x14ac:dyDescent="0.3">
      <c r="B12" s="11">
        <v>1</v>
      </c>
      <c r="C12" s="52">
        <v>7.0000000000000007E-2</v>
      </c>
      <c r="D12" s="52">
        <v>7.5999999999999998E-2</v>
      </c>
      <c r="E12" s="52"/>
      <c r="F12" s="53"/>
      <c r="G12" s="11">
        <v>1</v>
      </c>
      <c r="H12" s="52">
        <v>2E-3</v>
      </c>
      <c r="I12" s="52">
        <v>2E-3</v>
      </c>
      <c r="J12" s="52"/>
      <c r="K12" s="11">
        <v>1</v>
      </c>
      <c r="L12" s="15">
        <v>1550</v>
      </c>
      <c r="M12" s="15">
        <v>1361</v>
      </c>
      <c r="N12" s="2"/>
      <c r="O12" s="41"/>
      <c r="P12" s="41"/>
    </row>
    <row r="13" spans="1:16" x14ac:dyDescent="0.3">
      <c r="B13" s="11">
        <v>2</v>
      </c>
      <c r="C13" s="52">
        <v>6.2E-2</v>
      </c>
      <c r="D13" s="52">
        <v>6.9000000000000006E-2</v>
      </c>
      <c r="E13" s="52"/>
      <c r="F13" s="53"/>
      <c r="G13" s="11">
        <v>2</v>
      </c>
      <c r="H13" s="52">
        <v>3.0000000000000001E-3</v>
      </c>
      <c r="I13" s="52">
        <v>4.0000000000000001E-3</v>
      </c>
      <c r="J13" s="52"/>
      <c r="K13" s="11">
        <v>2</v>
      </c>
      <c r="L13" s="15">
        <v>1216</v>
      </c>
      <c r="M13" s="15">
        <v>1141</v>
      </c>
      <c r="N13" s="2"/>
      <c r="O13" s="41"/>
      <c r="P13" s="41"/>
    </row>
    <row r="14" spans="1:16" x14ac:dyDescent="0.3">
      <c r="B14" s="11">
        <v>3</v>
      </c>
      <c r="C14" s="52">
        <v>5.3999999999999999E-2</v>
      </c>
      <c r="D14" s="52">
        <v>0.06</v>
      </c>
      <c r="E14" s="52"/>
      <c r="F14" s="53"/>
      <c r="G14" s="11">
        <v>3</v>
      </c>
      <c r="H14" s="52">
        <v>3.0000000000000001E-3</v>
      </c>
      <c r="I14" s="52">
        <v>5.0000000000000001E-3</v>
      </c>
      <c r="J14" s="52"/>
      <c r="K14" s="11">
        <v>3</v>
      </c>
      <c r="L14" s="15">
        <v>993</v>
      </c>
      <c r="M14" s="15">
        <v>944</v>
      </c>
      <c r="N14" s="2"/>
      <c r="O14" s="41"/>
      <c r="P14" s="41"/>
    </row>
    <row r="15" spans="1:16" x14ac:dyDescent="0.3">
      <c r="B15" s="11">
        <v>4</v>
      </c>
      <c r="C15" s="52">
        <v>4.2000000000000003E-2</v>
      </c>
      <c r="D15" s="52">
        <v>4.8000000000000001E-2</v>
      </c>
      <c r="E15" s="52"/>
      <c r="F15" s="53"/>
      <c r="G15" s="11">
        <v>4</v>
      </c>
      <c r="H15" s="52">
        <v>4.0000000000000001E-3</v>
      </c>
      <c r="I15" s="52">
        <v>6.0000000000000001E-3</v>
      </c>
      <c r="J15" s="52"/>
      <c r="K15" s="11">
        <v>4</v>
      </c>
      <c r="L15" s="15">
        <v>767</v>
      </c>
      <c r="M15" s="15">
        <v>746</v>
      </c>
      <c r="N15" s="2"/>
      <c r="O15" s="41"/>
      <c r="P15" s="41"/>
    </row>
    <row r="16" spans="1:16" x14ac:dyDescent="0.3">
      <c r="B16" s="11">
        <v>5</v>
      </c>
      <c r="C16" s="52">
        <v>3.9E-2</v>
      </c>
      <c r="D16" s="52">
        <v>0.04</v>
      </c>
      <c r="E16" s="52"/>
      <c r="F16" s="53"/>
      <c r="G16" s="11">
        <v>5</v>
      </c>
      <c r="H16" s="52">
        <v>5.0000000000000001E-3</v>
      </c>
      <c r="I16" s="52">
        <v>8.0000000000000002E-3</v>
      </c>
      <c r="J16" s="52"/>
      <c r="K16" s="11">
        <v>5</v>
      </c>
      <c r="L16" s="15">
        <v>662</v>
      </c>
      <c r="M16" s="15">
        <v>645</v>
      </c>
      <c r="N16" s="2"/>
      <c r="O16" s="41"/>
      <c r="P16" s="41"/>
    </row>
    <row r="17" spans="2:16" x14ac:dyDescent="0.3">
      <c r="B17" s="11">
        <v>6</v>
      </c>
      <c r="C17" s="52">
        <v>3.1E-2</v>
      </c>
      <c r="D17" s="52">
        <v>3.6999999999999998E-2</v>
      </c>
      <c r="E17" s="52"/>
      <c r="F17" s="53"/>
      <c r="G17" s="11">
        <v>6</v>
      </c>
      <c r="H17" s="52">
        <v>6.0000000000000001E-3</v>
      </c>
      <c r="I17" s="52">
        <v>0.01</v>
      </c>
      <c r="J17" s="52"/>
      <c r="K17" s="11">
        <v>6</v>
      </c>
      <c r="L17" s="15">
        <v>569</v>
      </c>
      <c r="M17" s="15">
        <v>586</v>
      </c>
      <c r="N17" s="2"/>
      <c r="O17" s="41"/>
      <c r="P17" s="41"/>
    </row>
    <row r="18" spans="2:16" x14ac:dyDescent="0.3">
      <c r="B18" s="11">
        <v>7</v>
      </c>
      <c r="C18" s="52">
        <v>2.7E-2</v>
      </c>
      <c r="D18" s="52">
        <v>3.1E-2</v>
      </c>
      <c r="E18" s="52"/>
      <c r="F18" s="53"/>
      <c r="G18" s="11">
        <v>7</v>
      </c>
      <c r="H18" s="52">
        <v>8.0000000000000002E-3</v>
      </c>
      <c r="I18" s="52">
        <v>1.2E-2</v>
      </c>
      <c r="J18" s="52"/>
      <c r="K18" s="11">
        <v>7</v>
      </c>
      <c r="L18" s="15">
        <v>514</v>
      </c>
      <c r="M18" s="15">
        <v>493</v>
      </c>
      <c r="N18" s="2"/>
      <c r="O18" s="41"/>
      <c r="P18" s="41"/>
    </row>
    <row r="19" spans="2:16" x14ac:dyDescent="0.3">
      <c r="B19" s="11">
        <v>8</v>
      </c>
      <c r="C19" s="52">
        <v>2.3E-2</v>
      </c>
      <c r="D19" s="52">
        <v>3.1E-2</v>
      </c>
      <c r="E19" s="52"/>
      <c r="F19" s="53"/>
      <c r="G19" s="11">
        <v>8</v>
      </c>
      <c r="H19" s="52">
        <v>8.9999999999999993E-3</v>
      </c>
      <c r="I19" s="52">
        <v>1.4E-2</v>
      </c>
      <c r="J19" s="52"/>
      <c r="K19" s="11">
        <v>8</v>
      </c>
      <c r="L19" s="15">
        <v>458</v>
      </c>
      <c r="M19" s="15">
        <v>509</v>
      </c>
      <c r="N19" s="2"/>
      <c r="O19" s="41"/>
      <c r="P19" s="41"/>
    </row>
    <row r="20" spans="2:16" x14ac:dyDescent="0.3">
      <c r="B20" s="11">
        <v>9</v>
      </c>
      <c r="C20" s="52">
        <v>0.02</v>
      </c>
      <c r="D20" s="52">
        <v>2.1000000000000001E-2</v>
      </c>
      <c r="E20" s="52"/>
      <c r="F20" s="53"/>
      <c r="G20" s="11">
        <v>9</v>
      </c>
      <c r="H20" s="52">
        <v>1.0999999999999999E-2</v>
      </c>
      <c r="I20" s="52">
        <v>1.6E-2</v>
      </c>
      <c r="J20" s="52"/>
      <c r="K20" s="11">
        <v>9</v>
      </c>
      <c r="L20" s="15">
        <v>200</v>
      </c>
      <c r="M20" s="15">
        <v>394</v>
      </c>
      <c r="N20" s="2"/>
      <c r="O20" s="15"/>
      <c r="P20" s="15"/>
    </row>
    <row r="21" spans="2:16" x14ac:dyDescent="0.3">
      <c r="B21" s="11">
        <v>10</v>
      </c>
      <c r="C21" s="52">
        <v>1.7000000000000001E-2</v>
      </c>
      <c r="D21" s="52">
        <v>0.02</v>
      </c>
      <c r="E21" s="52"/>
      <c r="F21" s="53"/>
      <c r="G21" s="11">
        <v>10</v>
      </c>
      <c r="H21" s="52">
        <v>1.2999999999999999E-2</v>
      </c>
      <c r="I21" s="52">
        <v>1.9E-2</v>
      </c>
      <c r="J21" s="52"/>
      <c r="K21" s="11">
        <v>10</v>
      </c>
      <c r="L21" s="15">
        <v>385</v>
      </c>
      <c r="M21" s="15">
        <v>425</v>
      </c>
      <c r="N21" s="2"/>
      <c r="O21" s="41"/>
      <c r="P21" s="41"/>
    </row>
    <row r="22" spans="2:16" x14ac:dyDescent="0.3">
      <c r="B22" s="11">
        <v>11</v>
      </c>
      <c r="C22" s="52">
        <v>1.4999999999999999E-2</v>
      </c>
      <c r="D22" s="52">
        <v>1.9E-2</v>
      </c>
      <c r="E22" s="52"/>
      <c r="F22" s="53"/>
      <c r="G22" s="11">
        <v>11</v>
      </c>
      <c r="H22" s="52">
        <v>1.6E-2</v>
      </c>
      <c r="I22" s="52">
        <v>2.3E-2</v>
      </c>
      <c r="J22" s="52"/>
      <c r="K22" s="11">
        <v>11</v>
      </c>
      <c r="L22" s="15">
        <v>390</v>
      </c>
      <c r="M22" s="15">
        <v>434</v>
      </c>
      <c r="N22" s="2"/>
      <c r="O22" s="41"/>
      <c r="P22" s="41"/>
    </row>
    <row r="23" spans="2:16" x14ac:dyDescent="0.3">
      <c r="B23" s="11">
        <v>12</v>
      </c>
      <c r="C23" s="52">
        <v>1.4E-2</v>
      </c>
      <c r="D23" s="52">
        <v>1.7000000000000001E-2</v>
      </c>
      <c r="E23" s="52"/>
      <c r="F23" s="53"/>
      <c r="G23" s="11">
        <v>12</v>
      </c>
      <c r="H23" s="52">
        <v>1.7999999999999999E-2</v>
      </c>
      <c r="I23" s="52">
        <v>2.7E-2</v>
      </c>
      <c r="J23" s="52"/>
      <c r="K23" s="11">
        <v>12</v>
      </c>
      <c r="L23" s="15">
        <v>395</v>
      </c>
      <c r="M23" s="15">
        <v>428</v>
      </c>
      <c r="N23" s="2"/>
      <c r="O23" s="41"/>
      <c r="P23" s="41"/>
    </row>
    <row r="24" spans="2:16" x14ac:dyDescent="0.3">
      <c r="B24" s="11">
        <v>13</v>
      </c>
      <c r="C24" s="52">
        <v>1.4E-2</v>
      </c>
      <c r="D24" s="52">
        <v>1.7000000000000001E-2</v>
      </c>
      <c r="E24" s="52"/>
      <c r="F24" s="53"/>
      <c r="G24" s="11">
        <v>13</v>
      </c>
      <c r="H24" s="52">
        <v>2.1000000000000001E-2</v>
      </c>
      <c r="I24" s="52">
        <v>3.1E-2</v>
      </c>
      <c r="J24" s="52"/>
      <c r="K24" s="11">
        <v>13</v>
      </c>
      <c r="L24" s="15">
        <v>450</v>
      </c>
      <c r="M24" s="15">
        <v>453</v>
      </c>
      <c r="N24" s="2"/>
      <c r="O24" s="41"/>
      <c r="P24" s="41"/>
    </row>
    <row r="25" spans="2:16" x14ac:dyDescent="0.3">
      <c r="B25" s="11">
        <v>14</v>
      </c>
      <c r="C25" s="52">
        <v>1.4E-2</v>
      </c>
      <c r="D25" s="52">
        <v>1.7000000000000001E-2</v>
      </c>
      <c r="E25" s="52"/>
      <c r="F25" s="37"/>
      <c r="G25" s="11">
        <v>14</v>
      </c>
      <c r="H25" s="52">
        <v>2.4E-2</v>
      </c>
      <c r="I25" s="52">
        <v>3.5000000000000003E-2</v>
      </c>
      <c r="J25" s="52"/>
      <c r="K25" s="11">
        <v>14</v>
      </c>
      <c r="L25" s="15">
        <v>464</v>
      </c>
      <c r="M25" s="15">
        <v>459</v>
      </c>
      <c r="N25" s="2"/>
      <c r="O25" s="41"/>
      <c r="P25" s="41"/>
    </row>
    <row r="26" spans="2:16" x14ac:dyDescent="0.3">
      <c r="B26" s="11">
        <v>15</v>
      </c>
      <c r="C26" s="52">
        <v>1.2E-2</v>
      </c>
      <c r="D26" s="52">
        <v>1.7000000000000001E-2</v>
      </c>
      <c r="E26" s="52"/>
      <c r="F26" s="11"/>
      <c r="G26" s="11">
        <v>15</v>
      </c>
      <c r="H26" s="52">
        <v>2.5999999999999999E-2</v>
      </c>
      <c r="I26" s="52">
        <v>3.9E-2</v>
      </c>
      <c r="J26" s="52"/>
      <c r="K26" s="11">
        <v>15</v>
      </c>
      <c r="L26" s="15">
        <v>478</v>
      </c>
      <c r="M26" s="15">
        <v>438</v>
      </c>
      <c r="N26" s="2"/>
      <c r="O26" s="41"/>
      <c r="P26" s="41"/>
    </row>
    <row r="27" spans="2:16" x14ac:dyDescent="0.3">
      <c r="B27" s="11" t="s">
        <v>101</v>
      </c>
      <c r="C27" s="52">
        <v>0.01</v>
      </c>
      <c r="D27" s="52">
        <v>1.2999999999999999E-2</v>
      </c>
      <c r="E27" s="52"/>
      <c r="F27" s="11"/>
      <c r="G27" s="11">
        <v>16</v>
      </c>
      <c r="H27" s="52">
        <v>2.9000000000000001E-2</v>
      </c>
      <c r="I27" s="52">
        <v>4.2999999999999997E-2</v>
      </c>
      <c r="J27" s="52"/>
      <c r="K27" s="11">
        <v>16</v>
      </c>
      <c r="L27" s="15">
        <v>438</v>
      </c>
      <c r="M27" s="15">
        <v>440</v>
      </c>
      <c r="N27" s="2"/>
      <c r="O27" s="41"/>
      <c r="P27" s="41"/>
    </row>
    <row r="28" spans="2:16" x14ac:dyDescent="0.3">
      <c r="B28" s="11"/>
      <c r="C28" s="52"/>
      <c r="D28" s="52"/>
      <c r="E28" s="52"/>
      <c r="F28" s="11"/>
      <c r="G28" s="11">
        <v>17</v>
      </c>
      <c r="H28" s="52">
        <v>3.1E-2</v>
      </c>
      <c r="I28" s="52">
        <v>4.5999999999999999E-2</v>
      </c>
      <c r="J28" s="11"/>
      <c r="K28" s="11">
        <v>17</v>
      </c>
      <c r="L28" s="15">
        <v>460</v>
      </c>
      <c r="M28" s="15">
        <v>418</v>
      </c>
      <c r="N28" s="2"/>
      <c r="O28" s="41"/>
      <c r="P28" s="41"/>
    </row>
    <row r="29" spans="2:16" x14ac:dyDescent="0.3">
      <c r="B29" s="11"/>
      <c r="C29" s="52"/>
      <c r="D29" s="52"/>
      <c r="E29" s="52"/>
      <c r="F29" s="11"/>
      <c r="G29" s="11">
        <v>18</v>
      </c>
      <c r="H29" s="52">
        <v>3.4000000000000002E-2</v>
      </c>
      <c r="I29" s="52">
        <v>0.05</v>
      </c>
      <c r="J29" s="11"/>
      <c r="K29" s="11">
        <v>18</v>
      </c>
      <c r="L29" s="15">
        <v>504</v>
      </c>
      <c r="M29" s="15">
        <v>398</v>
      </c>
      <c r="N29" s="2"/>
      <c r="O29" s="41"/>
      <c r="P29" s="41"/>
    </row>
    <row r="30" spans="2:16" x14ac:dyDescent="0.3">
      <c r="B30" s="11"/>
      <c r="C30" s="52"/>
      <c r="D30" s="52"/>
      <c r="E30" s="52"/>
      <c r="F30" s="11"/>
      <c r="G30" s="11">
        <v>19</v>
      </c>
      <c r="H30" s="52">
        <v>3.7999999999999999E-2</v>
      </c>
      <c r="I30" s="52">
        <v>5.3999999999999999E-2</v>
      </c>
      <c r="J30" s="11"/>
      <c r="K30" s="11">
        <v>19</v>
      </c>
      <c r="L30" s="15">
        <v>519</v>
      </c>
      <c r="M30" s="15">
        <v>412</v>
      </c>
      <c r="N30" s="2"/>
      <c r="O30" s="41"/>
      <c r="P30" s="41"/>
    </row>
    <row r="31" spans="2:16" x14ac:dyDescent="0.3">
      <c r="B31" s="11"/>
      <c r="C31" s="52"/>
      <c r="D31" s="52"/>
      <c r="E31" s="52"/>
      <c r="F31" s="11"/>
      <c r="G31" s="11">
        <v>20</v>
      </c>
      <c r="H31" s="52">
        <v>0.04</v>
      </c>
      <c r="I31" s="52">
        <v>5.8000000000000003E-2</v>
      </c>
      <c r="J31" s="11"/>
      <c r="K31" s="11">
        <v>20</v>
      </c>
      <c r="L31" s="15">
        <v>535</v>
      </c>
      <c r="M31" s="15">
        <v>438</v>
      </c>
      <c r="N31" s="2"/>
      <c r="O31" s="41"/>
      <c r="P31" s="41"/>
    </row>
    <row r="32" spans="2:16" x14ac:dyDescent="0.3">
      <c r="G32" s="29"/>
      <c r="L32" s="16"/>
    </row>
    <row r="33" spans="1:15" x14ac:dyDescent="0.3">
      <c r="B33" t="s">
        <v>100</v>
      </c>
      <c r="G33" s="29"/>
      <c r="L33" s="16"/>
      <c r="O33" s="22"/>
    </row>
    <row r="34" spans="1:15" x14ac:dyDescent="0.3">
      <c r="B34" t="s">
        <v>171</v>
      </c>
      <c r="G34" s="29"/>
      <c r="L34" s="16"/>
      <c r="O34" s="22"/>
    </row>
    <row r="35" spans="1:15" x14ac:dyDescent="0.3">
      <c r="B35" t="s">
        <v>184</v>
      </c>
      <c r="I35" s="3"/>
      <c r="J35" s="3"/>
      <c r="L35" s="16"/>
      <c r="N35" s="1"/>
      <c r="O35" s="40"/>
    </row>
    <row r="36" spans="1:15" x14ac:dyDescent="0.3">
      <c r="B36" t="s">
        <v>185</v>
      </c>
      <c r="F36" s="20"/>
      <c r="G36" s="29"/>
      <c r="N36" s="1"/>
      <c r="O36" s="40"/>
    </row>
    <row r="37" spans="1:15" x14ac:dyDescent="0.3">
      <c r="F37" s="20"/>
      <c r="G37" s="29"/>
      <c r="N37" s="1"/>
      <c r="O37" s="40"/>
    </row>
    <row r="38" spans="1:15" x14ac:dyDescent="0.3">
      <c r="A38" t="s">
        <v>1</v>
      </c>
      <c r="B38" t="s">
        <v>206</v>
      </c>
      <c r="F38" s="20"/>
      <c r="G38" s="29"/>
      <c r="N38" s="1"/>
      <c r="O38" s="40"/>
    </row>
    <row r="39" spans="1:15" x14ac:dyDescent="0.3">
      <c r="F39" s="20"/>
      <c r="G39" s="29"/>
      <c r="I39" s="3"/>
      <c r="J39" s="3"/>
      <c r="K39" s="3"/>
      <c r="L39" s="1"/>
      <c r="O39" s="40"/>
    </row>
    <row r="40" spans="1:15" x14ac:dyDescent="0.3">
      <c r="B40" s="51" t="s">
        <v>118</v>
      </c>
      <c r="C40" s="46"/>
      <c r="D40" s="46"/>
      <c r="E40" s="46"/>
      <c r="F40" s="50"/>
      <c r="G40" s="49"/>
      <c r="H40" s="46"/>
      <c r="I40" s="48"/>
      <c r="J40" s="48"/>
      <c r="K40" s="48"/>
      <c r="L40" s="47"/>
      <c r="N40" s="45"/>
      <c r="O40" s="40"/>
    </row>
    <row r="41" spans="1:15" x14ac:dyDescent="0.3">
      <c r="F41" s="20"/>
      <c r="G41" s="29"/>
      <c r="I41" s="3"/>
      <c r="J41" s="3"/>
      <c r="K41" s="3"/>
      <c r="L41" s="1"/>
      <c r="N41" s="45"/>
      <c r="O41" s="40"/>
    </row>
    <row r="42" spans="1:15" x14ac:dyDescent="0.3">
      <c r="C42" s="13" t="s">
        <v>11</v>
      </c>
      <c r="D42" s="46"/>
      <c r="E42" s="46"/>
      <c r="F42" s="46"/>
      <c r="G42" s="12"/>
      <c r="H42" s="13" t="s">
        <v>12</v>
      </c>
      <c r="I42" s="46"/>
      <c r="J42" s="46"/>
      <c r="K42" s="46"/>
      <c r="L42" s="12"/>
    </row>
    <row r="43" spans="1:15" ht="43.8" thickBot="1" x14ac:dyDescent="0.35">
      <c r="B43" s="37" t="s">
        <v>102</v>
      </c>
      <c r="C43" s="37" t="s">
        <v>112</v>
      </c>
      <c r="D43" s="37" t="s">
        <v>111</v>
      </c>
      <c r="E43" s="37" t="s">
        <v>186</v>
      </c>
      <c r="F43" s="37" t="s">
        <v>187</v>
      </c>
      <c r="G43" s="37" t="s">
        <v>118</v>
      </c>
      <c r="H43" s="37" t="s">
        <v>112</v>
      </c>
      <c r="I43" s="37" t="s">
        <v>111</v>
      </c>
      <c r="J43" s="37" t="s">
        <v>186</v>
      </c>
      <c r="K43" s="37" t="s">
        <v>187</v>
      </c>
      <c r="L43" s="37" t="s">
        <v>118</v>
      </c>
      <c r="N43" s="45" t="s">
        <v>8</v>
      </c>
    </row>
    <row r="44" spans="1:15" x14ac:dyDescent="0.3">
      <c r="B44" s="11">
        <v>1</v>
      </c>
      <c r="C44" s="15">
        <v>20813</v>
      </c>
      <c r="D44" s="15">
        <f t="shared" ref="D44:D63" si="0">L12</f>
        <v>1550</v>
      </c>
      <c r="E44" s="15">
        <f t="shared" ref="E44:E58" si="1">MIN(C44*C12,D44)</f>
        <v>1456.91</v>
      </c>
      <c r="F44" s="15">
        <f t="shared" ref="F44:F63" si="2">D44-E44</f>
        <v>93.089999999999918</v>
      </c>
      <c r="G44" s="54">
        <f t="shared" ref="G44:G63" si="3">F44/C44</f>
        <v>4.472685340892707E-3</v>
      </c>
      <c r="H44" s="15">
        <v>17029</v>
      </c>
      <c r="I44" s="15">
        <f t="shared" ref="I44:I63" si="4">M12</f>
        <v>1361</v>
      </c>
      <c r="J44" s="15">
        <f>MIN(H44*D12,I44)</f>
        <v>1294.204</v>
      </c>
      <c r="K44" s="15">
        <f t="shared" ref="K44:K63" si="5">I44-J44</f>
        <v>66.796000000000049</v>
      </c>
      <c r="L44" s="54">
        <f t="shared" ref="L44:L63" si="6">K44/H44</f>
        <v>3.9224851723530475E-3</v>
      </c>
      <c r="M44" s="41"/>
      <c r="N44" s="41" t="s">
        <v>117</v>
      </c>
    </row>
    <row r="45" spans="1:15" x14ac:dyDescent="0.3">
      <c r="B45" s="11">
        <f t="shared" ref="B45:B63" si="7">B44+1</f>
        <v>2</v>
      </c>
      <c r="C45" s="15">
        <f t="shared" ref="C45:C63" si="8">C44-D44</f>
        <v>19263</v>
      </c>
      <c r="D45" s="15">
        <f t="shared" si="0"/>
        <v>1216</v>
      </c>
      <c r="E45" s="15">
        <f t="shared" si="1"/>
        <v>1194.306</v>
      </c>
      <c r="F45" s="15">
        <f t="shared" si="2"/>
        <v>21.69399999999996</v>
      </c>
      <c r="G45" s="55">
        <f t="shared" si="3"/>
        <v>1.1262004879821399E-3</v>
      </c>
      <c r="H45" s="15">
        <f t="shared" ref="H45:H63" si="9">H44-I44</f>
        <v>15668</v>
      </c>
      <c r="I45" s="15">
        <f t="shared" si="4"/>
        <v>1141</v>
      </c>
      <c r="J45" s="15">
        <f t="shared" ref="J45:J58" si="10">MIN(H45*D13,I45)</f>
        <v>1081.0920000000001</v>
      </c>
      <c r="K45" s="15">
        <f t="shared" si="5"/>
        <v>59.907999999999902</v>
      </c>
      <c r="L45" s="55">
        <f t="shared" si="6"/>
        <v>3.823589481746228E-3</v>
      </c>
      <c r="M45" s="41"/>
      <c r="N45" s="41" t="s">
        <v>116</v>
      </c>
    </row>
    <row r="46" spans="1:15" x14ac:dyDescent="0.3">
      <c r="B46" s="11">
        <f t="shared" si="7"/>
        <v>3</v>
      </c>
      <c r="C46" s="15">
        <f t="shared" si="8"/>
        <v>18047</v>
      </c>
      <c r="D46" s="15">
        <f t="shared" si="0"/>
        <v>993</v>
      </c>
      <c r="E46" s="15">
        <f t="shared" si="1"/>
        <v>974.53800000000001</v>
      </c>
      <c r="F46" s="15">
        <f t="shared" si="2"/>
        <v>18.461999999999989</v>
      </c>
      <c r="G46" s="55">
        <f t="shared" si="3"/>
        <v>1.0229955117193987E-3</v>
      </c>
      <c r="H46" s="15">
        <f t="shared" si="9"/>
        <v>14527</v>
      </c>
      <c r="I46" s="15">
        <f t="shared" si="4"/>
        <v>944</v>
      </c>
      <c r="J46" s="15">
        <f t="shared" si="10"/>
        <v>871.62</v>
      </c>
      <c r="K46" s="15">
        <f t="shared" si="5"/>
        <v>72.38</v>
      </c>
      <c r="L46" s="55">
        <f t="shared" si="6"/>
        <v>4.9824464789701931E-3</v>
      </c>
      <c r="M46" s="41"/>
      <c r="N46" s="41" t="s">
        <v>115</v>
      </c>
    </row>
    <row r="47" spans="1:15" x14ac:dyDescent="0.3">
      <c r="B47" s="11">
        <f t="shared" si="7"/>
        <v>4</v>
      </c>
      <c r="C47" s="15">
        <f t="shared" si="8"/>
        <v>17054</v>
      </c>
      <c r="D47" s="15">
        <f t="shared" si="0"/>
        <v>767</v>
      </c>
      <c r="E47" s="15">
        <f t="shared" si="1"/>
        <v>716.26800000000003</v>
      </c>
      <c r="F47" s="15">
        <f t="shared" si="2"/>
        <v>50.731999999999971</v>
      </c>
      <c r="G47" s="55">
        <f t="shared" si="3"/>
        <v>2.9747859739650503E-3</v>
      </c>
      <c r="H47" s="15">
        <f t="shared" si="9"/>
        <v>13583</v>
      </c>
      <c r="I47" s="15">
        <f t="shared" si="4"/>
        <v>746</v>
      </c>
      <c r="J47" s="15">
        <f t="shared" si="10"/>
        <v>651.98400000000004</v>
      </c>
      <c r="K47" s="15">
        <f t="shared" si="5"/>
        <v>94.015999999999963</v>
      </c>
      <c r="L47" s="55">
        <f t="shared" si="6"/>
        <v>6.9215931679304987E-3</v>
      </c>
      <c r="M47" s="41"/>
      <c r="N47" s="41"/>
    </row>
    <row r="48" spans="1:15" x14ac:dyDescent="0.3">
      <c r="B48" s="11">
        <f t="shared" si="7"/>
        <v>5</v>
      </c>
      <c r="C48" s="15">
        <f t="shared" si="8"/>
        <v>16287</v>
      </c>
      <c r="D48" s="15">
        <f t="shared" si="0"/>
        <v>662</v>
      </c>
      <c r="E48" s="15">
        <f t="shared" si="1"/>
        <v>635.19299999999998</v>
      </c>
      <c r="F48" s="15">
        <f t="shared" si="2"/>
        <v>26.807000000000016</v>
      </c>
      <c r="G48" s="55">
        <f t="shared" si="3"/>
        <v>1.6459139190765652E-3</v>
      </c>
      <c r="H48" s="15">
        <f t="shared" si="9"/>
        <v>12837</v>
      </c>
      <c r="I48" s="15">
        <f t="shared" si="4"/>
        <v>645</v>
      </c>
      <c r="J48" s="15">
        <f t="shared" si="10"/>
        <v>513.48</v>
      </c>
      <c r="K48" s="15">
        <f t="shared" si="5"/>
        <v>131.51999999999998</v>
      </c>
      <c r="L48" s="55">
        <f t="shared" si="6"/>
        <v>1.0245384435615797E-2</v>
      </c>
      <c r="M48" s="41"/>
      <c r="N48" s="41" t="s">
        <v>114</v>
      </c>
    </row>
    <row r="49" spans="2:14" x14ac:dyDescent="0.3">
      <c r="B49" s="11">
        <f t="shared" si="7"/>
        <v>6</v>
      </c>
      <c r="C49" s="15">
        <f t="shared" si="8"/>
        <v>15625</v>
      </c>
      <c r="D49" s="15">
        <f t="shared" si="0"/>
        <v>569</v>
      </c>
      <c r="E49" s="15">
        <f t="shared" si="1"/>
        <v>484.375</v>
      </c>
      <c r="F49" s="15">
        <f t="shared" si="2"/>
        <v>84.625</v>
      </c>
      <c r="G49" s="55">
        <f t="shared" si="3"/>
        <v>5.4159999999999998E-3</v>
      </c>
      <c r="H49" s="15">
        <f t="shared" si="9"/>
        <v>12192</v>
      </c>
      <c r="I49" s="15">
        <f t="shared" si="4"/>
        <v>586</v>
      </c>
      <c r="J49" s="15">
        <f t="shared" si="10"/>
        <v>451.10399999999998</v>
      </c>
      <c r="K49" s="15">
        <f t="shared" si="5"/>
        <v>134.89600000000002</v>
      </c>
      <c r="L49" s="55">
        <f t="shared" si="6"/>
        <v>1.1064304461942259E-2</v>
      </c>
      <c r="M49" s="41"/>
      <c r="N49" s="41"/>
    </row>
    <row r="50" spans="2:14" x14ac:dyDescent="0.3">
      <c r="B50" s="11">
        <f t="shared" si="7"/>
        <v>7</v>
      </c>
      <c r="C50" s="15">
        <f t="shared" si="8"/>
        <v>15056</v>
      </c>
      <c r="D50" s="15">
        <f t="shared" si="0"/>
        <v>514</v>
      </c>
      <c r="E50" s="15">
        <f t="shared" si="1"/>
        <v>406.512</v>
      </c>
      <c r="F50" s="15">
        <f t="shared" si="2"/>
        <v>107.488</v>
      </c>
      <c r="G50" s="55">
        <f t="shared" si="3"/>
        <v>7.1392136025504784E-3</v>
      </c>
      <c r="H50" s="15">
        <f t="shared" si="9"/>
        <v>11606</v>
      </c>
      <c r="I50" s="15">
        <f t="shared" si="4"/>
        <v>493</v>
      </c>
      <c r="J50" s="15">
        <f t="shared" si="10"/>
        <v>359.786</v>
      </c>
      <c r="K50" s="15">
        <f t="shared" si="5"/>
        <v>133.214</v>
      </c>
      <c r="L50" s="55">
        <f t="shared" si="6"/>
        <v>1.1478028605893503E-2</v>
      </c>
      <c r="M50" s="41"/>
      <c r="N50" s="41" t="s">
        <v>113</v>
      </c>
    </row>
    <row r="51" spans="2:14" x14ac:dyDescent="0.3">
      <c r="B51" s="11">
        <f t="shared" si="7"/>
        <v>8</v>
      </c>
      <c r="C51" s="15">
        <f t="shared" si="8"/>
        <v>14542</v>
      </c>
      <c r="D51" s="15">
        <f t="shared" si="0"/>
        <v>458</v>
      </c>
      <c r="E51" s="15">
        <f t="shared" si="1"/>
        <v>334.46600000000001</v>
      </c>
      <c r="F51" s="15">
        <f t="shared" si="2"/>
        <v>123.53399999999999</v>
      </c>
      <c r="G51" s="55">
        <f t="shared" si="3"/>
        <v>8.4949800577637184E-3</v>
      </c>
      <c r="H51" s="15">
        <f t="shared" si="9"/>
        <v>11113</v>
      </c>
      <c r="I51" s="15">
        <f t="shared" si="4"/>
        <v>509</v>
      </c>
      <c r="J51" s="15">
        <f t="shared" si="10"/>
        <v>344.50299999999999</v>
      </c>
      <c r="K51" s="15">
        <f t="shared" si="5"/>
        <v>164.49700000000001</v>
      </c>
      <c r="L51" s="55">
        <f t="shared" si="6"/>
        <v>1.4802213623683976E-2</v>
      </c>
      <c r="M51" s="41"/>
      <c r="N51" s="41"/>
    </row>
    <row r="52" spans="2:14" x14ac:dyDescent="0.3">
      <c r="B52" s="11">
        <f t="shared" si="7"/>
        <v>9</v>
      </c>
      <c r="C52" s="15">
        <f t="shared" si="8"/>
        <v>14084</v>
      </c>
      <c r="D52" s="15">
        <f t="shared" si="0"/>
        <v>200</v>
      </c>
      <c r="E52" s="15">
        <f t="shared" si="1"/>
        <v>200</v>
      </c>
      <c r="F52" s="15">
        <f t="shared" si="2"/>
        <v>0</v>
      </c>
      <c r="G52" s="55">
        <f t="shared" si="3"/>
        <v>0</v>
      </c>
      <c r="H52" s="15">
        <f t="shared" si="9"/>
        <v>10604</v>
      </c>
      <c r="I52" s="15">
        <f t="shared" si="4"/>
        <v>394</v>
      </c>
      <c r="J52" s="15">
        <f t="shared" si="10"/>
        <v>222.68400000000003</v>
      </c>
      <c r="K52" s="15">
        <f t="shared" si="5"/>
        <v>171.31599999999997</v>
      </c>
      <c r="L52" s="55">
        <f t="shared" si="6"/>
        <v>1.6155790267823461E-2</v>
      </c>
      <c r="M52" s="41"/>
      <c r="N52" s="41"/>
    </row>
    <row r="53" spans="2:14" x14ac:dyDescent="0.3">
      <c r="B53" s="11">
        <f t="shared" si="7"/>
        <v>10</v>
      </c>
      <c r="C53" s="15">
        <f t="shared" si="8"/>
        <v>13884</v>
      </c>
      <c r="D53" s="15">
        <f t="shared" si="0"/>
        <v>385</v>
      </c>
      <c r="E53" s="15">
        <f t="shared" si="1"/>
        <v>236.02800000000002</v>
      </c>
      <c r="F53" s="15">
        <f t="shared" si="2"/>
        <v>148.97199999999998</v>
      </c>
      <c r="G53" s="55">
        <f t="shared" si="3"/>
        <v>1.072976087582829E-2</v>
      </c>
      <c r="H53" s="15">
        <f t="shared" si="9"/>
        <v>10210</v>
      </c>
      <c r="I53" s="15">
        <f t="shared" si="4"/>
        <v>425</v>
      </c>
      <c r="J53" s="15">
        <f t="shared" si="10"/>
        <v>204.20000000000002</v>
      </c>
      <c r="K53" s="15">
        <f t="shared" si="5"/>
        <v>220.79999999999998</v>
      </c>
      <c r="L53" s="55">
        <f t="shared" si="6"/>
        <v>2.1625857002938294E-2</v>
      </c>
      <c r="M53" s="41"/>
      <c r="N53" s="41"/>
    </row>
    <row r="54" spans="2:14" x14ac:dyDescent="0.3">
      <c r="B54" s="11">
        <f t="shared" si="7"/>
        <v>11</v>
      </c>
      <c r="C54" s="15">
        <f t="shared" si="8"/>
        <v>13499</v>
      </c>
      <c r="D54" s="15">
        <f t="shared" si="0"/>
        <v>390</v>
      </c>
      <c r="E54" s="15">
        <f t="shared" si="1"/>
        <v>202.48499999999999</v>
      </c>
      <c r="F54" s="15">
        <f t="shared" si="2"/>
        <v>187.51500000000001</v>
      </c>
      <c r="G54" s="55">
        <f t="shared" si="3"/>
        <v>1.3891028965108528E-2</v>
      </c>
      <c r="H54" s="15">
        <f t="shared" si="9"/>
        <v>9785</v>
      </c>
      <c r="I54" s="15">
        <f t="shared" si="4"/>
        <v>434</v>
      </c>
      <c r="J54" s="15">
        <f t="shared" si="10"/>
        <v>185.91499999999999</v>
      </c>
      <c r="K54" s="15">
        <f t="shared" si="5"/>
        <v>248.08500000000001</v>
      </c>
      <c r="L54" s="55">
        <f t="shared" si="6"/>
        <v>2.5353602452733777E-2</v>
      </c>
      <c r="M54" s="41"/>
      <c r="N54" s="41"/>
    </row>
    <row r="55" spans="2:14" x14ac:dyDescent="0.3">
      <c r="B55" s="11">
        <f t="shared" si="7"/>
        <v>12</v>
      </c>
      <c r="C55" s="15">
        <f t="shared" si="8"/>
        <v>13109</v>
      </c>
      <c r="D55" s="15">
        <f t="shared" si="0"/>
        <v>395</v>
      </c>
      <c r="E55" s="15">
        <f t="shared" si="1"/>
        <v>183.52600000000001</v>
      </c>
      <c r="F55" s="15">
        <f t="shared" si="2"/>
        <v>211.47399999999999</v>
      </c>
      <c r="G55" s="55">
        <f t="shared" si="3"/>
        <v>1.6131970402013883E-2</v>
      </c>
      <c r="H55" s="15">
        <f t="shared" si="9"/>
        <v>9351</v>
      </c>
      <c r="I55" s="15">
        <f t="shared" si="4"/>
        <v>428</v>
      </c>
      <c r="J55" s="15">
        <f t="shared" si="10"/>
        <v>158.96700000000001</v>
      </c>
      <c r="K55" s="15">
        <f t="shared" si="5"/>
        <v>269.03300000000002</v>
      </c>
      <c r="L55" s="55">
        <f t="shared" si="6"/>
        <v>2.8770505828253665E-2</v>
      </c>
      <c r="M55" s="41"/>
      <c r="N55" s="41"/>
    </row>
    <row r="56" spans="2:14" x14ac:dyDescent="0.3">
      <c r="B56" s="11">
        <f t="shared" si="7"/>
        <v>13</v>
      </c>
      <c r="C56" s="15">
        <f t="shared" si="8"/>
        <v>12714</v>
      </c>
      <c r="D56" s="15">
        <f t="shared" si="0"/>
        <v>450</v>
      </c>
      <c r="E56" s="15">
        <f t="shared" si="1"/>
        <v>177.99600000000001</v>
      </c>
      <c r="F56" s="15">
        <f t="shared" si="2"/>
        <v>272.00400000000002</v>
      </c>
      <c r="G56" s="55">
        <f t="shared" si="3"/>
        <v>2.1394053798961775E-2</v>
      </c>
      <c r="H56" s="15">
        <f t="shared" si="9"/>
        <v>8923</v>
      </c>
      <c r="I56" s="15">
        <f t="shared" si="4"/>
        <v>453</v>
      </c>
      <c r="J56" s="15">
        <f t="shared" si="10"/>
        <v>151.691</v>
      </c>
      <c r="K56" s="15">
        <f t="shared" si="5"/>
        <v>301.30899999999997</v>
      </c>
      <c r="L56" s="55">
        <f t="shared" si="6"/>
        <v>3.3767679031715785E-2</v>
      </c>
      <c r="M56" s="41"/>
      <c r="N56" s="41"/>
    </row>
    <row r="57" spans="2:14" x14ac:dyDescent="0.3">
      <c r="B57" s="11">
        <f t="shared" si="7"/>
        <v>14</v>
      </c>
      <c r="C57" s="15">
        <f t="shared" si="8"/>
        <v>12264</v>
      </c>
      <c r="D57" s="15">
        <f t="shared" si="0"/>
        <v>464</v>
      </c>
      <c r="E57" s="15">
        <f t="shared" si="1"/>
        <v>171.696</v>
      </c>
      <c r="F57" s="15">
        <f t="shared" si="2"/>
        <v>292.30399999999997</v>
      </c>
      <c r="G57" s="55">
        <f t="shared" si="3"/>
        <v>2.3834311806914546E-2</v>
      </c>
      <c r="H57" s="15">
        <f t="shared" si="9"/>
        <v>8470</v>
      </c>
      <c r="I57" s="15">
        <f t="shared" si="4"/>
        <v>459</v>
      </c>
      <c r="J57" s="15">
        <f t="shared" si="10"/>
        <v>143.99</v>
      </c>
      <c r="K57" s="15">
        <f t="shared" si="5"/>
        <v>315.01</v>
      </c>
      <c r="L57" s="55">
        <f t="shared" si="6"/>
        <v>3.7191263282172371E-2</v>
      </c>
      <c r="M57" s="41"/>
      <c r="N57" s="41"/>
    </row>
    <row r="58" spans="2:14" x14ac:dyDescent="0.3">
      <c r="B58" s="11">
        <f t="shared" si="7"/>
        <v>15</v>
      </c>
      <c r="C58" s="15">
        <f t="shared" si="8"/>
        <v>11800</v>
      </c>
      <c r="D58" s="15">
        <f t="shared" si="0"/>
        <v>478</v>
      </c>
      <c r="E58" s="15">
        <f t="shared" si="1"/>
        <v>141.6</v>
      </c>
      <c r="F58" s="15">
        <f t="shared" si="2"/>
        <v>336.4</v>
      </c>
      <c r="G58" s="55">
        <f t="shared" si="3"/>
        <v>2.8508474576271186E-2</v>
      </c>
      <c r="H58" s="15">
        <f t="shared" si="9"/>
        <v>8011</v>
      </c>
      <c r="I58" s="15">
        <f t="shared" si="4"/>
        <v>438</v>
      </c>
      <c r="J58" s="15">
        <f t="shared" si="10"/>
        <v>136.18700000000001</v>
      </c>
      <c r="K58" s="15">
        <f t="shared" si="5"/>
        <v>301.81299999999999</v>
      </c>
      <c r="L58" s="55">
        <f t="shared" si="6"/>
        <v>3.7674822119585567E-2</v>
      </c>
      <c r="M58" s="41"/>
      <c r="N58" s="41"/>
    </row>
    <row r="59" spans="2:14" x14ac:dyDescent="0.3">
      <c r="B59" s="11">
        <f t="shared" si="7"/>
        <v>16</v>
      </c>
      <c r="C59" s="15">
        <f t="shared" si="8"/>
        <v>11322</v>
      </c>
      <c r="D59" s="15">
        <f t="shared" si="0"/>
        <v>438</v>
      </c>
      <c r="E59" s="15">
        <f>MIN(C59*$C$27,D59)</f>
        <v>113.22</v>
      </c>
      <c r="F59" s="15">
        <f t="shared" si="2"/>
        <v>324.77999999999997</v>
      </c>
      <c r="G59" s="55">
        <f t="shared" si="3"/>
        <v>2.8685744568097506E-2</v>
      </c>
      <c r="H59" s="15">
        <f t="shared" si="9"/>
        <v>7573</v>
      </c>
      <c r="I59" s="15">
        <f t="shared" si="4"/>
        <v>440</v>
      </c>
      <c r="J59" s="15">
        <f>MIN(H59*$D$27,I59)</f>
        <v>98.448999999999998</v>
      </c>
      <c r="K59" s="15">
        <f t="shared" si="5"/>
        <v>341.55099999999999</v>
      </c>
      <c r="L59" s="55">
        <f t="shared" si="6"/>
        <v>4.510114881816981E-2</v>
      </c>
      <c r="M59" s="41"/>
      <c r="N59" s="41"/>
    </row>
    <row r="60" spans="2:14" x14ac:dyDescent="0.3">
      <c r="B60" s="11">
        <f t="shared" si="7"/>
        <v>17</v>
      </c>
      <c r="C60" s="15">
        <f t="shared" si="8"/>
        <v>10884</v>
      </c>
      <c r="D60" s="15">
        <f t="shared" si="0"/>
        <v>460</v>
      </c>
      <c r="E60" s="15">
        <f>MIN(C60*$C$27,D60)</f>
        <v>108.84</v>
      </c>
      <c r="F60" s="15">
        <f t="shared" si="2"/>
        <v>351.15999999999997</v>
      </c>
      <c r="G60" s="55">
        <f t="shared" si="3"/>
        <v>3.2263873575891215E-2</v>
      </c>
      <c r="H60" s="15">
        <f t="shared" si="9"/>
        <v>7133</v>
      </c>
      <c r="I60" s="15">
        <f t="shared" si="4"/>
        <v>418</v>
      </c>
      <c r="J60" s="15">
        <f>MIN(H60*$D$27,I60)</f>
        <v>92.728999999999999</v>
      </c>
      <c r="K60" s="15">
        <f t="shared" si="5"/>
        <v>325.27100000000002</v>
      </c>
      <c r="L60" s="55">
        <f t="shared" si="6"/>
        <v>4.5600869199495304E-2</v>
      </c>
      <c r="M60" s="41"/>
      <c r="N60" s="41"/>
    </row>
    <row r="61" spans="2:14" x14ac:dyDescent="0.3">
      <c r="B61" s="11">
        <f t="shared" si="7"/>
        <v>18</v>
      </c>
      <c r="C61" s="15">
        <f t="shared" si="8"/>
        <v>10424</v>
      </c>
      <c r="D61" s="15">
        <f t="shared" si="0"/>
        <v>504</v>
      </c>
      <c r="E61" s="15">
        <f>MIN(C61*$C$27,D61)</f>
        <v>104.24000000000001</v>
      </c>
      <c r="F61" s="15">
        <f t="shared" si="2"/>
        <v>399.76</v>
      </c>
      <c r="G61" s="55">
        <f t="shared" si="3"/>
        <v>3.8349961627014581E-2</v>
      </c>
      <c r="H61" s="15">
        <f t="shared" si="9"/>
        <v>6715</v>
      </c>
      <c r="I61" s="15">
        <f t="shared" si="4"/>
        <v>398</v>
      </c>
      <c r="J61" s="15">
        <f>MIN(H61*$D$27,I61)</f>
        <v>87.295000000000002</v>
      </c>
      <c r="K61" s="15">
        <f t="shared" si="5"/>
        <v>310.70499999999998</v>
      </c>
      <c r="L61" s="55">
        <f t="shared" si="6"/>
        <v>4.6270290394638869E-2</v>
      </c>
      <c r="M61" s="41"/>
      <c r="N61" s="41"/>
    </row>
    <row r="62" spans="2:14" x14ac:dyDescent="0.3">
      <c r="B62" s="11">
        <f t="shared" si="7"/>
        <v>19</v>
      </c>
      <c r="C62" s="15">
        <f t="shared" si="8"/>
        <v>9920</v>
      </c>
      <c r="D62" s="15">
        <f t="shared" si="0"/>
        <v>519</v>
      </c>
      <c r="E62" s="15">
        <f>MIN(C62*$C$27,D62)</f>
        <v>99.2</v>
      </c>
      <c r="F62" s="15">
        <f t="shared" si="2"/>
        <v>419.8</v>
      </c>
      <c r="G62" s="55">
        <f t="shared" si="3"/>
        <v>4.2318548387096776E-2</v>
      </c>
      <c r="H62" s="15">
        <f t="shared" si="9"/>
        <v>6317</v>
      </c>
      <c r="I62" s="15">
        <f t="shared" si="4"/>
        <v>412</v>
      </c>
      <c r="J62" s="15">
        <f>MIN(H62*$D$27,I62)</f>
        <v>82.120999999999995</v>
      </c>
      <c r="K62" s="15">
        <f t="shared" si="5"/>
        <v>329.87900000000002</v>
      </c>
      <c r="L62" s="55">
        <f t="shared" si="6"/>
        <v>5.222083267373754E-2</v>
      </c>
      <c r="M62" s="41"/>
      <c r="N62" s="41"/>
    </row>
    <row r="63" spans="2:14" ht="15" thickBot="1" x14ac:dyDescent="0.35">
      <c r="B63" s="11">
        <f t="shared" si="7"/>
        <v>20</v>
      </c>
      <c r="C63" s="15">
        <f t="shared" si="8"/>
        <v>9401</v>
      </c>
      <c r="D63" s="15">
        <f t="shared" si="0"/>
        <v>535</v>
      </c>
      <c r="E63" s="15">
        <f>MIN(C63*$C$27,D63)</f>
        <v>94.01</v>
      </c>
      <c r="F63" s="15">
        <f t="shared" si="2"/>
        <v>440.99</v>
      </c>
      <c r="G63" s="56">
        <f t="shared" si="3"/>
        <v>4.6908839485161155E-2</v>
      </c>
      <c r="H63" s="15">
        <f t="shared" si="9"/>
        <v>5905</v>
      </c>
      <c r="I63" s="15">
        <f t="shared" si="4"/>
        <v>438</v>
      </c>
      <c r="J63" s="15">
        <f>MIN(H63*$D$27,I63)</f>
        <v>76.765000000000001</v>
      </c>
      <c r="K63" s="15">
        <f t="shared" si="5"/>
        <v>361.23500000000001</v>
      </c>
      <c r="L63" s="56">
        <f t="shared" si="6"/>
        <v>6.1174428450465709E-2</v>
      </c>
      <c r="M63" s="41"/>
      <c r="N63" s="41"/>
    </row>
    <row r="64" spans="2:14" x14ac:dyDescent="0.3">
      <c r="C64" s="2"/>
      <c r="D64" s="2"/>
    </row>
    <row r="65" spans="2:14" x14ac:dyDescent="0.3">
      <c r="B65" s="51" t="s">
        <v>110</v>
      </c>
      <c r="C65" s="46"/>
      <c r="D65" s="46"/>
      <c r="E65" s="46"/>
      <c r="F65" s="50"/>
      <c r="G65" s="49"/>
      <c r="H65" s="46"/>
      <c r="I65" s="48"/>
      <c r="J65" s="48"/>
      <c r="K65" s="48"/>
      <c r="L65" s="47"/>
    </row>
    <row r="67" spans="2:14" x14ac:dyDescent="0.3">
      <c r="C67" s="13" t="s">
        <v>11</v>
      </c>
      <c r="D67" s="46"/>
      <c r="E67" s="46"/>
      <c r="F67" s="46"/>
      <c r="G67" s="12"/>
      <c r="H67" s="13" t="s">
        <v>12</v>
      </c>
      <c r="I67" s="46"/>
      <c r="J67" s="46"/>
      <c r="K67" s="46"/>
      <c r="L67" s="12"/>
    </row>
    <row r="68" spans="2:14" x14ac:dyDescent="0.3">
      <c r="C68" s="21"/>
      <c r="D68" s="21"/>
      <c r="E68" s="22"/>
      <c r="F68" s="21"/>
      <c r="G68" s="21"/>
      <c r="H68" s="21"/>
      <c r="I68" s="21"/>
      <c r="J68" s="21"/>
      <c r="K68" s="21"/>
      <c r="L68" s="22"/>
      <c r="M68" s="21"/>
    </row>
    <row r="69" spans="2:14" ht="43.8" thickBot="1" x14ac:dyDescent="0.35">
      <c r="B69" s="37" t="s">
        <v>102</v>
      </c>
      <c r="C69" s="37" t="s">
        <v>112</v>
      </c>
      <c r="D69" s="37" t="s">
        <v>111</v>
      </c>
      <c r="E69" s="37" t="s">
        <v>188</v>
      </c>
      <c r="F69" s="37" t="s">
        <v>189</v>
      </c>
      <c r="G69" s="37" t="s">
        <v>110</v>
      </c>
      <c r="H69" s="37" t="s">
        <v>112</v>
      </c>
      <c r="I69" s="37" t="s">
        <v>111</v>
      </c>
      <c r="J69" s="37" t="s">
        <v>188</v>
      </c>
      <c r="K69" s="37" t="s">
        <v>189</v>
      </c>
      <c r="L69" s="37" t="s">
        <v>110</v>
      </c>
      <c r="N69" s="45" t="s">
        <v>8</v>
      </c>
    </row>
    <row r="70" spans="2:14" x14ac:dyDescent="0.3">
      <c r="B70" s="11">
        <v>1</v>
      </c>
      <c r="C70" s="15">
        <v>20813</v>
      </c>
      <c r="D70" s="15">
        <f t="shared" ref="D70:D89" si="11">L12</f>
        <v>1550</v>
      </c>
      <c r="E70" s="15">
        <f t="shared" ref="E70:E89" si="12">MIN(D70,C70*H12)</f>
        <v>41.625999999999998</v>
      </c>
      <c r="F70" s="15">
        <f t="shared" ref="F70:F89" si="13">D70-E70</f>
        <v>1508.374</v>
      </c>
      <c r="G70" s="54">
        <f t="shared" ref="G70:G89" si="14">F70/C70</f>
        <v>7.2472685340892712E-2</v>
      </c>
      <c r="H70" s="15">
        <v>17029</v>
      </c>
      <c r="I70" s="15">
        <f t="shared" ref="I70:I89" si="15">M12</f>
        <v>1361</v>
      </c>
      <c r="J70" s="15">
        <f t="shared" ref="J70:J89" si="16">MIN(I70,H70*I12)</f>
        <v>34.058</v>
      </c>
      <c r="K70" s="15">
        <f t="shared" ref="K70:K89" si="17">I70-J70</f>
        <v>1326.942</v>
      </c>
      <c r="L70" s="54">
        <f t="shared" ref="L70:L89" si="18">K70/H70</f>
        <v>7.7922485172353048E-2</v>
      </c>
      <c r="M70" s="41"/>
      <c r="N70" s="41" t="s">
        <v>109</v>
      </c>
    </row>
    <row r="71" spans="2:14" x14ac:dyDescent="0.3">
      <c r="B71" s="11">
        <f t="shared" ref="B71:B89" si="19">B70+1</f>
        <v>2</v>
      </c>
      <c r="C71" s="15">
        <f t="shared" ref="C71:C89" si="20">C70-D70</f>
        <v>19263</v>
      </c>
      <c r="D71" s="15">
        <f t="shared" si="11"/>
        <v>1216</v>
      </c>
      <c r="E71" s="15">
        <f t="shared" si="12"/>
        <v>57.789000000000001</v>
      </c>
      <c r="F71" s="15">
        <f t="shared" si="13"/>
        <v>1158.211</v>
      </c>
      <c r="G71" s="55">
        <f t="shared" si="14"/>
        <v>6.0126200487982145E-2</v>
      </c>
      <c r="H71" s="15">
        <f t="shared" ref="H71:H89" si="21">H70-I70</f>
        <v>15668</v>
      </c>
      <c r="I71" s="15">
        <f t="shared" si="15"/>
        <v>1141</v>
      </c>
      <c r="J71" s="15">
        <f t="shared" si="16"/>
        <v>62.672000000000004</v>
      </c>
      <c r="K71" s="15">
        <f t="shared" si="17"/>
        <v>1078.328</v>
      </c>
      <c r="L71" s="55">
        <f t="shared" si="18"/>
        <v>6.8823589481746231E-2</v>
      </c>
      <c r="M71" s="41"/>
      <c r="N71" s="41" t="s">
        <v>108</v>
      </c>
    </row>
    <row r="72" spans="2:14" x14ac:dyDescent="0.3">
      <c r="B72" s="11">
        <f t="shared" si="19"/>
        <v>3</v>
      </c>
      <c r="C72" s="15">
        <f t="shared" si="20"/>
        <v>18047</v>
      </c>
      <c r="D72" s="15">
        <f t="shared" si="11"/>
        <v>993</v>
      </c>
      <c r="E72" s="15">
        <f t="shared" si="12"/>
        <v>54.140999999999998</v>
      </c>
      <c r="F72" s="15">
        <f t="shared" si="13"/>
        <v>938.85900000000004</v>
      </c>
      <c r="G72" s="55">
        <f t="shared" si="14"/>
        <v>5.2022995511719398E-2</v>
      </c>
      <c r="H72" s="15">
        <f t="shared" si="21"/>
        <v>14527</v>
      </c>
      <c r="I72" s="15">
        <f t="shared" si="15"/>
        <v>944</v>
      </c>
      <c r="J72" s="15">
        <f t="shared" si="16"/>
        <v>72.635000000000005</v>
      </c>
      <c r="K72" s="15">
        <f t="shared" si="17"/>
        <v>871.36500000000001</v>
      </c>
      <c r="L72" s="55">
        <f t="shared" si="18"/>
        <v>5.9982446478970192E-2</v>
      </c>
      <c r="M72" s="41"/>
    </row>
    <row r="73" spans="2:14" x14ac:dyDescent="0.3">
      <c r="B73" s="11">
        <f t="shared" si="19"/>
        <v>4</v>
      </c>
      <c r="C73" s="15">
        <f t="shared" si="20"/>
        <v>17054</v>
      </c>
      <c r="D73" s="15">
        <f t="shared" si="11"/>
        <v>767</v>
      </c>
      <c r="E73" s="15">
        <f t="shared" si="12"/>
        <v>68.216000000000008</v>
      </c>
      <c r="F73" s="15">
        <f t="shared" si="13"/>
        <v>698.78399999999999</v>
      </c>
      <c r="G73" s="55">
        <f t="shared" si="14"/>
        <v>4.0974785973965054E-2</v>
      </c>
      <c r="H73" s="15">
        <f t="shared" si="21"/>
        <v>13583</v>
      </c>
      <c r="I73" s="15">
        <f t="shared" si="15"/>
        <v>746</v>
      </c>
      <c r="J73" s="15">
        <f t="shared" si="16"/>
        <v>81.498000000000005</v>
      </c>
      <c r="K73" s="15">
        <f t="shared" si="17"/>
        <v>664.50199999999995</v>
      </c>
      <c r="L73" s="55">
        <f t="shared" si="18"/>
        <v>4.8921593167930495E-2</v>
      </c>
      <c r="M73" s="41"/>
      <c r="N73" s="41"/>
    </row>
    <row r="74" spans="2:14" x14ac:dyDescent="0.3">
      <c r="B74" s="11">
        <f t="shared" si="19"/>
        <v>5</v>
      </c>
      <c r="C74" s="15">
        <f t="shared" si="20"/>
        <v>16287</v>
      </c>
      <c r="D74" s="15">
        <f t="shared" si="11"/>
        <v>662</v>
      </c>
      <c r="E74" s="15">
        <f t="shared" si="12"/>
        <v>81.435000000000002</v>
      </c>
      <c r="F74" s="15">
        <f t="shared" si="13"/>
        <v>580.56500000000005</v>
      </c>
      <c r="G74" s="55">
        <f t="shared" si="14"/>
        <v>3.5645913919076566E-2</v>
      </c>
      <c r="H74" s="15">
        <f t="shared" si="21"/>
        <v>12837</v>
      </c>
      <c r="I74" s="15">
        <f t="shared" si="15"/>
        <v>645</v>
      </c>
      <c r="J74" s="15">
        <f t="shared" si="16"/>
        <v>102.696</v>
      </c>
      <c r="K74" s="15">
        <f t="shared" si="17"/>
        <v>542.30399999999997</v>
      </c>
      <c r="L74" s="55">
        <f t="shared" si="18"/>
        <v>4.2245384435615797E-2</v>
      </c>
      <c r="M74" s="41"/>
      <c r="N74" s="41"/>
    </row>
    <row r="75" spans="2:14" x14ac:dyDescent="0.3">
      <c r="B75" s="11">
        <f t="shared" si="19"/>
        <v>6</v>
      </c>
      <c r="C75" s="15">
        <f t="shared" si="20"/>
        <v>15625</v>
      </c>
      <c r="D75" s="15">
        <f t="shared" si="11"/>
        <v>569</v>
      </c>
      <c r="E75" s="15">
        <f t="shared" si="12"/>
        <v>93.75</v>
      </c>
      <c r="F75" s="15">
        <f t="shared" si="13"/>
        <v>475.25</v>
      </c>
      <c r="G75" s="55">
        <f t="shared" si="14"/>
        <v>3.0415999999999999E-2</v>
      </c>
      <c r="H75" s="15">
        <f t="shared" si="21"/>
        <v>12192</v>
      </c>
      <c r="I75" s="15">
        <f t="shared" si="15"/>
        <v>586</v>
      </c>
      <c r="J75" s="15">
        <f t="shared" si="16"/>
        <v>121.92</v>
      </c>
      <c r="K75" s="15">
        <f t="shared" si="17"/>
        <v>464.08</v>
      </c>
      <c r="L75" s="55">
        <f t="shared" si="18"/>
        <v>3.8064304461942255E-2</v>
      </c>
      <c r="M75" s="41"/>
      <c r="N75" s="41"/>
    </row>
    <row r="76" spans="2:14" x14ac:dyDescent="0.3">
      <c r="B76" s="11">
        <f t="shared" si="19"/>
        <v>7</v>
      </c>
      <c r="C76" s="15">
        <f t="shared" si="20"/>
        <v>15056</v>
      </c>
      <c r="D76" s="15">
        <f t="shared" si="11"/>
        <v>514</v>
      </c>
      <c r="E76" s="15">
        <f t="shared" si="12"/>
        <v>120.44800000000001</v>
      </c>
      <c r="F76" s="15">
        <f t="shared" si="13"/>
        <v>393.55200000000002</v>
      </c>
      <c r="G76" s="55">
        <f t="shared" si="14"/>
        <v>2.613921360255048E-2</v>
      </c>
      <c r="H76" s="15">
        <f t="shared" si="21"/>
        <v>11606</v>
      </c>
      <c r="I76" s="15">
        <f t="shared" si="15"/>
        <v>493</v>
      </c>
      <c r="J76" s="15">
        <f t="shared" si="16"/>
        <v>139.27199999999999</v>
      </c>
      <c r="K76" s="15">
        <f t="shared" si="17"/>
        <v>353.72800000000001</v>
      </c>
      <c r="L76" s="55">
        <f t="shared" si="18"/>
        <v>3.0478028605893503E-2</v>
      </c>
      <c r="M76" s="41"/>
      <c r="N76" s="41"/>
    </row>
    <row r="77" spans="2:14" x14ac:dyDescent="0.3">
      <c r="B77" s="11">
        <f t="shared" si="19"/>
        <v>8</v>
      </c>
      <c r="C77" s="15">
        <f t="shared" si="20"/>
        <v>14542</v>
      </c>
      <c r="D77" s="15">
        <f t="shared" si="11"/>
        <v>458</v>
      </c>
      <c r="E77" s="15">
        <f t="shared" si="12"/>
        <v>130.87799999999999</v>
      </c>
      <c r="F77" s="15">
        <f t="shared" si="13"/>
        <v>327.12200000000001</v>
      </c>
      <c r="G77" s="55">
        <f t="shared" si="14"/>
        <v>2.2494980057763719E-2</v>
      </c>
      <c r="H77" s="15">
        <f t="shared" si="21"/>
        <v>11113</v>
      </c>
      <c r="I77" s="15">
        <f t="shared" si="15"/>
        <v>509</v>
      </c>
      <c r="J77" s="15">
        <f t="shared" si="16"/>
        <v>155.58199999999999</v>
      </c>
      <c r="K77" s="15">
        <f t="shared" si="17"/>
        <v>353.41800000000001</v>
      </c>
      <c r="L77" s="55">
        <f t="shared" si="18"/>
        <v>3.1802213623683975E-2</v>
      </c>
      <c r="M77" s="41"/>
      <c r="N77" s="41"/>
    </row>
    <row r="78" spans="2:14" x14ac:dyDescent="0.3">
      <c r="B78" s="11">
        <f t="shared" si="19"/>
        <v>9</v>
      </c>
      <c r="C78" s="15">
        <f t="shared" si="20"/>
        <v>14084</v>
      </c>
      <c r="D78" s="15">
        <f t="shared" si="11"/>
        <v>200</v>
      </c>
      <c r="E78" s="15">
        <f>MIN(D78,C78*H20)</f>
        <v>154.92399999999998</v>
      </c>
      <c r="F78" s="15">
        <f t="shared" si="13"/>
        <v>45.076000000000022</v>
      </c>
      <c r="G78" s="55">
        <f t="shared" si="14"/>
        <v>3.2005112184038641E-3</v>
      </c>
      <c r="H78" s="15">
        <f t="shared" si="21"/>
        <v>10604</v>
      </c>
      <c r="I78" s="15">
        <f t="shared" si="15"/>
        <v>394</v>
      </c>
      <c r="J78" s="15">
        <f t="shared" si="16"/>
        <v>169.66400000000002</v>
      </c>
      <c r="K78" s="15">
        <f t="shared" si="17"/>
        <v>224.33599999999998</v>
      </c>
      <c r="L78" s="55">
        <f t="shared" si="18"/>
        <v>2.1155790267823462E-2</v>
      </c>
      <c r="M78" s="41"/>
      <c r="N78" s="41"/>
    </row>
    <row r="79" spans="2:14" x14ac:dyDescent="0.3">
      <c r="B79" s="11">
        <f t="shared" si="19"/>
        <v>10</v>
      </c>
      <c r="C79" s="15">
        <f t="shared" si="20"/>
        <v>13884</v>
      </c>
      <c r="D79" s="15">
        <f t="shared" si="11"/>
        <v>385</v>
      </c>
      <c r="E79" s="15">
        <f t="shared" si="12"/>
        <v>180.49199999999999</v>
      </c>
      <c r="F79" s="15">
        <f t="shared" si="13"/>
        <v>204.50800000000001</v>
      </c>
      <c r="G79" s="55">
        <f t="shared" si="14"/>
        <v>1.4729760875828292E-2</v>
      </c>
      <c r="H79" s="15">
        <f t="shared" si="21"/>
        <v>10210</v>
      </c>
      <c r="I79" s="15">
        <f t="shared" si="15"/>
        <v>425</v>
      </c>
      <c r="J79" s="15">
        <f t="shared" si="16"/>
        <v>193.99</v>
      </c>
      <c r="K79" s="15">
        <f t="shared" si="17"/>
        <v>231.01</v>
      </c>
      <c r="L79" s="55">
        <f t="shared" si="18"/>
        <v>2.2625857002938295E-2</v>
      </c>
      <c r="M79" s="41"/>
      <c r="N79" s="41"/>
    </row>
    <row r="80" spans="2:14" x14ac:dyDescent="0.3">
      <c r="B80" s="11">
        <f t="shared" si="19"/>
        <v>11</v>
      </c>
      <c r="C80" s="15">
        <f t="shared" si="20"/>
        <v>13499</v>
      </c>
      <c r="D80" s="15">
        <f t="shared" si="11"/>
        <v>390</v>
      </c>
      <c r="E80" s="15">
        <f t="shared" si="12"/>
        <v>215.98400000000001</v>
      </c>
      <c r="F80" s="15">
        <f t="shared" si="13"/>
        <v>174.01599999999999</v>
      </c>
      <c r="G80" s="55">
        <f t="shared" si="14"/>
        <v>1.2891028965108527E-2</v>
      </c>
      <c r="H80" s="15">
        <f t="shared" si="21"/>
        <v>9785</v>
      </c>
      <c r="I80" s="15">
        <f t="shared" si="15"/>
        <v>434</v>
      </c>
      <c r="J80" s="15">
        <f t="shared" si="16"/>
        <v>225.05500000000001</v>
      </c>
      <c r="K80" s="15">
        <f t="shared" si="17"/>
        <v>208.94499999999999</v>
      </c>
      <c r="L80" s="55">
        <f t="shared" si="18"/>
        <v>2.1353602452733777E-2</v>
      </c>
      <c r="M80" s="41"/>
      <c r="N80" s="41"/>
    </row>
    <row r="81" spans="2:14" x14ac:dyDescent="0.3">
      <c r="B81" s="11">
        <f t="shared" si="19"/>
        <v>12</v>
      </c>
      <c r="C81" s="15">
        <f t="shared" si="20"/>
        <v>13109</v>
      </c>
      <c r="D81" s="15">
        <f t="shared" si="11"/>
        <v>395</v>
      </c>
      <c r="E81" s="15">
        <f t="shared" si="12"/>
        <v>235.96199999999999</v>
      </c>
      <c r="F81" s="15">
        <f t="shared" si="13"/>
        <v>159.03800000000001</v>
      </c>
      <c r="G81" s="55">
        <f t="shared" si="14"/>
        <v>1.2131970402013885E-2</v>
      </c>
      <c r="H81" s="15">
        <f t="shared" si="21"/>
        <v>9351</v>
      </c>
      <c r="I81" s="15">
        <f t="shared" si="15"/>
        <v>428</v>
      </c>
      <c r="J81" s="15">
        <f t="shared" si="16"/>
        <v>252.477</v>
      </c>
      <c r="K81" s="15">
        <f t="shared" si="17"/>
        <v>175.523</v>
      </c>
      <c r="L81" s="55">
        <f t="shared" si="18"/>
        <v>1.8770505828253663E-2</v>
      </c>
      <c r="M81" s="41"/>
      <c r="N81" s="41"/>
    </row>
    <row r="82" spans="2:14" x14ac:dyDescent="0.3">
      <c r="B82" s="11">
        <f t="shared" si="19"/>
        <v>13</v>
      </c>
      <c r="C82" s="15">
        <f t="shared" si="20"/>
        <v>12714</v>
      </c>
      <c r="D82" s="15">
        <f t="shared" si="11"/>
        <v>450</v>
      </c>
      <c r="E82" s="15">
        <f t="shared" si="12"/>
        <v>266.99400000000003</v>
      </c>
      <c r="F82" s="15">
        <f t="shared" si="13"/>
        <v>183.00599999999997</v>
      </c>
      <c r="G82" s="55">
        <f t="shared" si="14"/>
        <v>1.4394053798961772E-2</v>
      </c>
      <c r="H82" s="15">
        <f t="shared" si="21"/>
        <v>8923</v>
      </c>
      <c r="I82" s="15">
        <f t="shared" si="15"/>
        <v>453</v>
      </c>
      <c r="J82" s="15">
        <f t="shared" si="16"/>
        <v>276.613</v>
      </c>
      <c r="K82" s="15">
        <f t="shared" si="17"/>
        <v>176.387</v>
      </c>
      <c r="L82" s="55">
        <f t="shared" si="18"/>
        <v>1.976767903171579E-2</v>
      </c>
      <c r="M82" s="41"/>
      <c r="N82" s="41"/>
    </row>
    <row r="83" spans="2:14" x14ac:dyDescent="0.3">
      <c r="B83" s="11">
        <f t="shared" si="19"/>
        <v>14</v>
      </c>
      <c r="C83" s="15">
        <f t="shared" si="20"/>
        <v>12264</v>
      </c>
      <c r="D83" s="15">
        <f t="shared" si="11"/>
        <v>464</v>
      </c>
      <c r="E83" s="15">
        <f t="shared" si="12"/>
        <v>294.33600000000001</v>
      </c>
      <c r="F83" s="15">
        <f t="shared" si="13"/>
        <v>169.66399999999999</v>
      </c>
      <c r="G83" s="55">
        <f t="shared" si="14"/>
        <v>1.3834311806914546E-2</v>
      </c>
      <c r="H83" s="15">
        <f t="shared" si="21"/>
        <v>8470</v>
      </c>
      <c r="I83" s="15">
        <f t="shared" si="15"/>
        <v>459</v>
      </c>
      <c r="J83" s="15">
        <f t="shared" si="16"/>
        <v>296.45000000000005</v>
      </c>
      <c r="K83" s="15">
        <f t="shared" si="17"/>
        <v>162.54999999999995</v>
      </c>
      <c r="L83" s="55">
        <f t="shared" si="18"/>
        <v>1.9191263282172369E-2</v>
      </c>
      <c r="M83" s="41"/>
      <c r="N83" s="41"/>
    </row>
    <row r="84" spans="2:14" x14ac:dyDescent="0.3">
      <c r="B84" s="11">
        <f t="shared" si="19"/>
        <v>15</v>
      </c>
      <c r="C84" s="15">
        <f t="shared" si="20"/>
        <v>11800</v>
      </c>
      <c r="D84" s="15">
        <f t="shared" si="11"/>
        <v>478</v>
      </c>
      <c r="E84" s="15">
        <f t="shared" si="12"/>
        <v>306.8</v>
      </c>
      <c r="F84" s="15">
        <f t="shared" si="13"/>
        <v>171.2</v>
      </c>
      <c r="G84" s="55">
        <f t="shared" si="14"/>
        <v>1.4508474576271186E-2</v>
      </c>
      <c r="H84" s="15">
        <f t="shared" si="21"/>
        <v>8011</v>
      </c>
      <c r="I84" s="15">
        <f t="shared" si="15"/>
        <v>438</v>
      </c>
      <c r="J84" s="15">
        <f t="shared" si="16"/>
        <v>312.42899999999997</v>
      </c>
      <c r="K84" s="15">
        <f t="shared" si="17"/>
        <v>125.57100000000003</v>
      </c>
      <c r="L84" s="55">
        <f t="shared" si="18"/>
        <v>1.5674822119585572E-2</v>
      </c>
      <c r="M84" s="41"/>
      <c r="N84" s="41"/>
    </row>
    <row r="85" spans="2:14" x14ac:dyDescent="0.3">
      <c r="B85" s="11">
        <f t="shared" si="19"/>
        <v>16</v>
      </c>
      <c r="C85" s="15">
        <f t="shared" si="20"/>
        <v>11322</v>
      </c>
      <c r="D85" s="15">
        <f t="shared" si="11"/>
        <v>438</v>
      </c>
      <c r="E85" s="15">
        <f t="shared" si="12"/>
        <v>328.33800000000002</v>
      </c>
      <c r="F85" s="15">
        <f t="shared" si="13"/>
        <v>109.66199999999998</v>
      </c>
      <c r="G85" s="55">
        <f t="shared" si="14"/>
        <v>9.6857445680975079E-3</v>
      </c>
      <c r="H85" s="15">
        <f t="shared" si="21"/>
        <v>7573</v>
      </c>
      <c r="I85" s="15">
        <f t="shared" si="15"/>
        <v>440</v>
      </c>
      <c r="J85" s="15">
        <f t="shared" si="16"/>
        <v>325.63899999999995</v>
      </c>
      <c r="K85" s="15">
        <f t="shared" si="17"/>
        <v>114.36100000000005</v>
      </c>
      <c r="L85" s="55">
        <f t="shared" si="18"/>
        <v>1.510114881816982E-2</v>
      </c>
      <c r="M85" s="41"/>
      <c r="N85" s="41"/>
    </row>
    <row r="86" spans="2:14" x14ac:dyDescent="0.3">
      <c r="B86" s="11">
        <f t="shared" si="19"/>
        <v>17</v>
      </c>
      <c r="C86" s="15">
        <f t="shared" si="20"/>
        <v>10884</v>
      </c>
      <c r="D86" s="15">
        <f t="shared" si="11"/>
        <v>460</v>
      </c>
      <c r="E86" s="15">
        <f t="shared" si="12"/>
        <v>337.404</v>
      </c>
      <c r="F86" s="15">
        <f t="shared" si="13"/>
        <v>122.596</v>
      </c>
      <c r="G86" s="55">
        <f t="shared" si="14"/>
        <v>1.1263873575891217E-2</v>
      </c>
      <c r="H86" s="15">
        <f t="shared" si="21"/>
        <v>7133</v>
      </c>
      <c r="I86" s="15">
        <f t="shared" si="15"/>
        <v>418</v>
      </c>
      <c r="J86" s="15">
        <f t="shared" si="16"/>
        <v>328.11799999999999</v>
      </c>
      <c r="K86" s="15">
        <f t="shared" si="17"/>
        <v>89.882000000000005</v>
      </c>
      <c r="L86" s="55">
        <f t="shared" si="18"/>
        <v>1.2600869199495305E-2</v>
      </c>
      <c r="M86" s="41"/>
      <c r="N86" s="41"/>
    </row>
    <row r="87" spans="2:14" x14ac:dyDescent="0.3">
      <c r="B87" s="11">
        <f t="shared" si="19"/>
        <v>18</v>
      </c>
      <c r="C87" s="15">
        <f t="shared" si="20"/>
        <v>10424</v>
      </c>
      <c r="D87" s="15">
        <f t="shared" si="11"/>
        <v>504</v>
      </c>
      <c r="E87" s="15">
        <f t="shared" si="12"/>
        <v>354.41600000000005</v>
      </c>
      <c r="F87" s="15">
        <f t="shared" si="13"/>
        <v>149.58399999999995</v>
      </c>
      <c r="G87" s="55">
        <f t="shared" si="14"/>
        <v>1.4349961627014577E-2</v>
      </c>
      <c r="H87" s="15">
        <f t="shared" si="21"/>
        <v>6715</v>
      </c>
      <c r="I87" s="15">
        <f t="shared" si="15"/>
        <v>398</v>
      </c>
      <c r="J87" s="15">
        <f t="shared" si="16"/>
        <v>335.75</v>
      </c>
      <c r="K87" s="15">
        <f t="shared" si="17"/>
        <v>62.25</v>
      </c>
      <c r="L87" s="55">
        <f t="shared" si="18"/>
        <v>9.2702903946388689E-3</v>
      </c>
      <c r="M87" s="41"/>
      <c r="N87" s="41"/>
    </row>
    <row r="88" spans="2:14" x14ac:dyDescent="0.3">
      <c r="B88" s="11">
        <f t="shared" si="19"/>
        <v>19</v>
      </c>
      <c r="C88" s="15">
        <f t="shared" si="20"/>
        <v>9920</v>
      </c>
      <c r="D88" s="15">
        <f t="shared" si="11"/>
        <v>519</v>
      </c>
      <c r="E88" s="15">
        <f t="shared" si="12"/>
        <v>376.96</v>
      </c>
      <c r="F88" s="15">
        <f t="shared" si="13"/>
        <v>142.04000000000002</v>
      </c>
      <c r="G88" s="55">
        <f t="shared" si="14"/>
        <v>1.4318548387096777E-2</v>
      </c>
      <c r="H88" s="15">
        <f t="shared" si="21"/>
        <v>6317</v>
      </c>
      <c r="I88" s="15">
        <f t="shared" si="15"/>
        <v>412</v>
      </c>
      <c r="J88" s="15">
        <f t="shared" si="16"/>
        <v>341.11799999999999</v>
      </c>
      <c r="K88" s="15">
        <f t="shared" si="17"/>
        <v>70.882000000000005</v>
      </c>
      <c r="L88" s="55">
        <f t="shared" si="18"/>
        <v>1.1220832673737535E-2</v>
      </c>
      <c r="M88" s="41"/>
      <c r="N88" s="41"/>
    </row>
    <row r="89" spans="2:14" ht="15" thickBot="1" x14ac:dyDescent="0.35">
      <c r="B89" s="11">
        <f t="shared" si="19"/>
        <v>20</v>
      </c>
      <c r="C89" s="15">
        <f t="shared" si="20"/>
        <v>9401</v>
      </c>
      <c r="D89" s="15">
        <f t="shared" si="11"/>
        <v>535</v>
      </c>
      <c r="E89" s="15">
        <f t="shared" si="12"/>
        <v>376.04</v>
      </c>
      <c r="F89" s="15">
        <f t="shared" si="13"/>
        <v>158.95999999999998</v>
      </c>
      <c r="G89" s="56">
        <f t="shared" si="14"/>
        <v>1.6908839485161149E-2</v>
      </c>
      <c r="H89" s="15">
        <f t="shared" si="21"/>
        <v>5905</v>
      </c>
      <c r="I89" s="15">
        <f t="shared" si="15"/>
        <v>438</v>
      </c>
      <c r="J89" s="15">
        <f t="shared" si="16"/>
        <v>342.49</v>
      </c>
      <c r="K89" s="15">
        <f t="shared" si="17"/>
        <v>95.509999999999991</v>
      </c>
      <c r="L89" s="56">
        <f t="shared" si="18"/>
        <v>1.6174428450465704E-2</v>
      </c>
      <c r="M89" s="41"/>
      <c r="N89" s="4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06B4F-8582-4ED4-B030-6272C00193BF}">
  <sheetPr>
    <tabColor theme="5" tint="0.39997558519241921"/>
  </sheetPr>
  <dimension ref="A1:M24"/>
  <sheetViews>
    <sheetView zoomScale="115" zoomScaleNormal="115" workbookViewId="0"/>
  </sheetViews>
  <sheetFormatPr defaultRowHeight="14.4" x14ac:dyDescent="0.3"/>
  <cols>
    <col min="2" max="13" width="14.21875" customWidth="1"/>
    <col min="14" max="14" width="11.21875" customWidth="1"/>
    <col min="15" max="15" width="16.5546875" bestFit="1" customWidth="1"/>
    <col min="16" max="20" width="12.77734375" customWidth="1"/>
  </cols>
  <sheetData>
    <row r="1" spans="1:13" x14ac:dyDescent="0.3">
      <c r="A1" s="73" t="s">
        <v>217</v>
      </c>
    </row>
    <row r="3" spans="1:13" x14ac:dyDescent="0.3">
      <c r="A3" s="10" t="s">
        <v>7</v>
      </c>
    </row>
    <row r="4" spans="1:13" x14ac:dyDescent="0.3">
      <c r="A4" t="s">
        <v>131</v>
      </c>
    </row>
    <row r="7" spans="1:13" x14ac:dyDescent="0.3">
      <c r="B7" s="9" t="s">
        <v>6</v>
      </c>
      <c r="C7" s="8"/>
      <c r="D7" s="8"/>
      <c r="E7" s="8"/>
      <c r="F7" s="8"/>
      <c r="G7" s="8"/>
      <c r="H7" s="7"/>
      <c r="J7" s="9" t="s">
        <v>5</v>
      </c>
      <c r="K7" s="8"/>
      <c r="L7" s="8"/>
      <c r="M7" s="7"/>
    </row>
    <row r="8" spans="1:13" x14ac:dyDescent="0.3">
      <c r="B8" s="6" t="s">
        <v>123</v>
      </c>
      <c r="C8" s="5"/>
      <c r="D8" s="5"/>
      <c r="E8" s="5"/>
      <c r="F8" s="5"/>
      <c r="G8" s="5"/>
      <c r="H8" s="4"/>
      <c r="J8" s="6" t="s">
        <v>192</v>
      </c>
      <c r="K8" s="5"/>
      <c r="L8" s="5"/>
      <c r="M8" s="4"/>
    </row>
    <row r="9" spans="1:13" x14ac:dyDescent="0.3">
      <c r="J9" s="23"/>
      <c r="K9" s="23"/>
      <c r="L9" s="23"/>
      <c r="M9" s="23"/>
    </row>
    <row r="10" spans="1:13" x14ac:dyDescent="0.3">
      <c r="C10" s="21" t="s">
        <v>12</v>
      </c>
      <c r="D10" s="21"/>
      <c r="E10" s="21"/>
      <c r="F10" s="21" t="s">
        <v>11</v>
      </c>
      <c r="G10" s="21"/>
      <c r="H10" s="21"/>
      <c r="K10" s="11" t="s">
        <v>197</v>
      </c>
      <c r="L10" s="11" t="s">
        <v>195</v>
      </c>
      <c r="M10" s="11" t="s">
        <v>193</v>
      </c>
    </row>
    <row r="11" spans="1:13" x14ac:dyDescent="0.3">
      <c r="B11" t="s">
        <v>102</v>
      </c>
      <c r="C11" s="21" t="s">
        <v>199</v>
      </c>
      <c r="D11" s="21"/>
      <c r="E11" s="21"/>
      <c r="F11" s="21" t="s">
        <v>199</v>
      </c>
      <c r="G11" s="21"/>
      <c r="H11" s="21"/>
      <c r="J11" t="s">
        <v>13</v>
      </c>
      <c r="K11" s="11" t="s">
        <v>198</v>
      </c>
      <c r="L11" s="11" t="s">
        <v>196</v>
      </c>
      <c r="M11" s="11" t="s">
        <v>194</v>
      </c>
    </row>
    <row r="12" spans="1:13" x14ac:dyDescent="0.3">
      <c r="B12" t="s">
        <v>130</v>
      </c>
      <c r="C12">
        <v>35</v>
      </c>
      <c r="D12">
        <v>45</v>
      </c>
      <c r="E12">
        <v>55</v>
      </c>
      <c r="F12">
        <v>35</v>
      </c>
      <c r="G12">
        <v>45</v>
      </c>
      <c r="H12">
        <v>55</v>
      </c>
      <c r="J12" t="s">
        <v>15</v>
      </c>
      <c r="K12" s="11">
        <v>45</v>
      </c>
      <c r="L12" s="11" t="s">
        <v>129</v>
      </c>
      <c r="M12" s="28">
        <f>1500*12</f>
        <v>18000</v>
      </c>
    </row>
    <row r="13" spans="1:13" x14ac:dyDescent="0.3">
      <c r="B13">
        <v>0</v>
      </c>
      <c r="C13">
        <v>1000</v>
      </c>
      <c r="D13">
        <v>1000</v>
      </c>
      <c r="E13">
        <v>1000</v>
      </c>
      <c r="F13">
        <v>1000</v>
      </c>
      <c r="G13">
        <v>1000</v>
      </c>
      <c r="H13">
        <v>1000</v>
      </c>
      <c r="J13" t="s">
        <v>16</v>
      </c>
      <c r="K13" s="11">
        <v>35</v>
      </c>
      <c r="L13" s="11" t="s">
        <v>128</v>
      </c>
      <c r="M13" s="28">
        <f>750*12</f>
        <v>9000</v>
      </c>
    </row>
    <row r="14" spans="1:13" x14ac:dyDescent="0.3">
      <c r="B14">
        <v>1</v>
      </c>
      <c r="C14">
        <v>955</v>
      </c>
      <c r="D14">
        <v>980</v>
      </c>
      <c r="E14">
        <v>965</v>
      </c>
      <c r="F14">
        <v>1000</v>
      </c>
      <c r="G14">
        <v>990</v>
      </c>
      <c r="H14">
        <v>985</v>
      </c>
      <c r="J14" t="s">
        <v>15</v>
      </c>
      <c r="K14" s="11">
        <v>55</v>
      </c>
      <c r="L14" s="11" t="s">
        <v>127</v>
      </c>
      <c r="M14" s="28">
        <f>1000*12</f>
        <v>12000</v>
      </c>
    </row>
    <row r="15" spans="1:13" x14ac:dyDescent="0.3">
      <c r="B15">
        <v>2</v>
      </c>
      <c r="C15">
        <v>935</v>
      </c>
      <c r="D15">
        <v>955</v>
      </c>
      <c r="E15">
        <v>930</v>
      </c>
      <c r="F15">
        <v>980</v>
      </c>
      <c r="G15">
        <v>970</v>
      </c>
      <c r="H15">
        <v>945</v>
      </c>
    </row>
    <row r="16" spans="1:13" x14ac:dyDescent="0.3">
      <c r="B16">
        <v>3</v>
      </c>
      <c r="C16">
        <v>920</v>
      </c>
      <c r="D16">
        <v>925</v>
      </c>
      <c r="E16">
        <v>890</v>
      </c>
      <c r="F16">
        <v>935</v>
      </c>
      <c r="G16">
        <v>925</v>
      </c>
      <c r="H16">
        <v>910</v>
      </c>
      <c r="J16" s="9" t="s">
        <v>4</v>
      </c>
      <c r="K16" s="7"/>
    </row>
    <row r="17" spans="1:13" x14ac:dyDescent="0.3">
      <c r="B17">
        <v>4</v>
      </c>
      <c r="C17">
        <v>900</v>
      </c>
      <c r="D17">
        <v>890</v>
      </c>
      <c r="E17">
        <v>870</v>
      </c>
      <c r="F17">
        <v>910</v>
      </c>
      <c r="G17">
        <v>880</v>
      </c>
      <c r="H17">
        <v>870</v>
      </c>
      <c r="J17" s="6" t="s">
        <v>126</v>
      </c>
      <c r="K17" s="4"/>
    </row>
    <row r="18" spans="1:13" x14ac:dyDescent="0.3">
      <c r="B18">
        <v>5</v>
      </c>
      <c r="C18">
        <v>895</v>
      </c>
      <c r="D18">
        <v>865</v>
      </c>
      <c r="E18">
        <v>855</v>
      </c>
      <c r="F18">
        <v>895</v>
      </c>
      <c r="G18">
        <v>875</v>
      </c>
      <c r="H18">
        <v>855</v>
      </c>
      <c r="J18" s="23"/>
      <c r="K18" s="23"/>
      <c r="L18" s="23"/>
      <c r="M18" s="23"/>
    </row>
    <row r="19" spans="1:13" x14ac:dyDescent="0.3">
      <c r="B19">
        <v>6</v>
      </c>
      <c r="C19">
        <v>0</v>
      </c>
      <c r="D19">
        <v>0</v>
      </c>
      <c r="E19">
        <v>0</v>
      </c>
      <c r="F19">
        <v>0</v>
      </c>
      <c r="G19">
        <v>0</v>
      </c>
      <c r="H19">
        <v>0</v>
      </c>
      <c r="J19" s="21" t="s">
        <v>122</v>
      </c>
      <c r="K19" s="1">
        <v>0.02</v>
      </c>
    </row>
    <row r="20" spans="1:13" x14ac:dyDescent="0.3">
      <c r="J20" s="21"/>
      <c r="K20" s="1"/>
    </row>
    <row r="21" spans="1:13" x14ac:dyDescent="0.3">
      <c r="B21" t="s">
        <v>125</v>
      </c>
    </row>
    <row r="22" spans="1:13" x14ac:dyDescent="0.3">
      <c r="B22" t="s">
        <v>124</v>
      </c>
    </row>
    <row r="24" spans="1:13" x14ac:dyDescent="0.3">
      <c r="A24" t="s">
        <v>1</v>
      </c>
      <c r="B24" t="s">
        <v>205</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BE01A-484C-4705-9670-26A565010A76}">
  <sheetPr>
    <tabColor theme="9" tint="0.59999389629810485"/>
  </sheetPr>
  <dimension ref="A1:M112"/>
  <sheetViews>
    <sheetView zoomScale="115" zoomScaleNormal="115" workbookViewId="0"/>
  </sheetViews>
  <sheetFormatPr defaultRowHeight="14.4" x14ac:dyDescent="0.3"/>
  <cols>
    <col min="2" max="13" width="14.21875" customWidth="1"/>
    <col min="14" max="14" width="11.21875" customWidth="1"/>
    <col min="15" max="15" width="16.5546875" bestFit="1" customWidth="1"/>
    <col min="16" max="20" width="12.77734375" customWidth="1"/>
  </cols>
  <sheetData>
    <row r="1" spans="1:13" x14ac:dyDescent="0.3">
      <c r="A1" s="73" t="s">
        <v>217</v>
      </c>
    </row>
    <row r="3" spans="1:13" x14ac:dyDescent="0.3">
      <c r="A3" s="10" t="s">
        <v>7</v>
      </c>
    </row>
    <row r="4" spans="1:13" x14ac:dyDescent="0.3">
      <c r="A4" t="s">
        <v>131</v>
      </c>
    </row>
    <row r="7" spans="1:13" x14ac:dyDescent="0.3">
      <c r="B7" s="9" t="s">
        <v>6</v>
      </c>
      <c r="C7" s="8"/>
      <c r="D7" s="8"/>
      <c r="E7" s="8"/>
      <c r="F7" s="8"/>
      <c r="G7" s="8"/>
      <c r="H7" s="7"/>
      <c r="J7" s="9" t="s">
        <v>5</v>
      </c>
      <c r="K7" s="8"/>
      <c r="L7" s="8"/>
      <c r="M7" s="7"/>
    </row>
    <row r="8" spans="1:13" x14ac:dyDescent="0.3">
      <c r="B8" s="6" t="s">
        <v>123</v>
      </c>
      <c r="C8" s="5"/>
      <c r="D8" s="5"/>
      <c r="E8" s="5"/>
      <c r="F8" s="5"/>
      <c r="G8" s="5"/>
      <c r="H8" s="4"/>
      <c r="J8" s="6" t="s">
        <v>192</v>
      </c>
      <c r="K8" s="5"/>
      <c r="L8" s="5"/>
      <c r="M8" s="4"/>
    </row>
    <row r="9" spans="1:13" x14ac:dyDescent="0.3">
      <c r="J9" s="23"/>
      <c r="K9" s="23"/>
      <c r="L9" s="23"/>
      <c r="M9" s="23"/>
    </row>
    <row r="10" spans="1:13" x14ac:dyDescent="0.3">
      <c r="C10" s="21" t="s">
        <v>12</v>
      </c>
      <c r="D10" s="21"/>
      <c r="E10" s="21"/>
      <c r="F10" s="21" t="s">
        <v>11</v>
      </c>
      <c r="G10" s="21"/>
      <c r="H10" s="21"/>
      <c r="K10" s="11" t="s">
        <v>197</v>
      </c>
      <c r="L10" s="11" t="s">
        <v>195</v>
      </c>
      <c r="M10" s="11" t="s">
        <v>193</v>
      </c>
    </row>
    <row r="11" spans="1:13" x14ac:dyDescent="0.3">
      <c r="B11" t="s">
        <v>102</v>
      </c>
      <c r="C11" s="21" t="s">
        <v>199</v>
      </c>
      <c r="D11" s="21"/>
      <c r="E11" s="21"/>
      <c r="F11" s="21" t="s">
        <v>199</v>
      </c>
      <c r="G11" s="21"/>
      <c r="H11" s="21"/>
      <c r="J11" t="s">
        <v>13</v>
      </c>
      <c r="K11" s="11" t="s">
        <v>198</v>
      </c>
      <c r="L11" s="11" t="s">
        <v>196</v>
      </c>
      <c r="M11" s="11" t="s">
        <v>194</v>
      </c>
    </row>
    <row r="12" spans="1:13" x14ac:dyDescent="0.3">
      <c r="B12" t="s">
        <v>130</v>
      </c>
      <c r="C12">
        <v>35</v>
      </c>
      <c r="D12">
        <v>45</v>
      </c>
      <c r="E12">
        <v>55</v>
      </c>
      <c r="F12">
        <v>35</v>
      </c>
      <c r="G12">
        <v>45</v>
      </c>
      <c r="H12">
        <v>55</v>
      </c>
      <c r="J12" t="s">
        <v>15</v>
      </c>
      <c r="K12" s="11">
        <v>45</v>
      </c>
      <c r="L12" s="11" t="s">
        <v>129</v>
      </c>
      <c r="M12" s="28">
        <f>1500*12</f>
        <v>18000</v>
      </c>
    </row>
    <row r="13" spans="1:13" x14ac:dyDescent="0.3">
      <c r="B13">
        <v>0</v>
      </c>
      <c r="C13">
        <v>1000</v>
      </c>
      <c r="D13">
        <v>1000</v>
      </c>
      <c r="E13">
        <v>1000</v>
      </c>
      <c r="F13">
        <v>1000</v>
      </c>
      <c r="G13">
        <v>1000</v>
      </c>
      <c r="H13">
        <v>1000</v>
      </c>
      <c r="J13" t="s">
        <v>16</v>
      </c>
      <c r="K13" s="11">
        <v>35</v>
      </c>
      <c r="L13" s="11" t="s">
        <v>128</v>
      </c>
      <c r="M13" s="28">
        <f>750*12</f>
        <v>9000</v>
      </c>
    </row>
    <row r="14" spans="1:13" x14ac:dyDescent="0.3">
      <c r="B14">
        <v>1</v>
      </c>
      <c r="C14">
        <v>955</v>
      </c>
      <c r="D14">
        <v>980</v>
      </c>
      <c r="E14">
        <v>965</v>
      </c>
      <c r="F14">
        <v>1000</v>
      </c>
      <c r="G14">
        <v>990</v>
      </c>
      <c r="H14">
        <v>985</v>
      </c>
      <c r="J14" t="s">
        <v>15</v>
      </c>
      <c r="K14" s="11">
        <v>55</v>
      </c>
      <c r="L14" s="11" t="s">
        <v>127</v>
      </c>
      <c r="M14" s="28">
        <f>1000*12</f>
        <v>12000</v>
      </c>
    </row>
    <row r="15" spans="1:13" x14ac:dyDescent="0.3">
      <c r="B15">
        <v>2</v>
      </c>
      <c r="C15">
        <v>935</v>
      </c>
      <c r="D15">
        <v>955</v>
      </c>
      <c r="E15">
        <v>930</v>
      </c>
      <c r="F15">
        <v>980</v>
      </c>
      <c r="G15">
        <v>970</v>
      </c>
      <c r="H15">
        <v>945</v>
      </c>
    </row>
    <row r="16" spans="1:13" x14ac:dyDescent="0.3">
      <c r="B16">
        <v>3</v>
      </c>
      <c r="C16">
        <v>920</v>
      </c>
      <c r="D16">
        <v>925</v>
      </c>
      <c r="E16">
        <v>890</v>
      </c>
      <c r="F16">
        <v>935</v>
      </c>
      <c r="G16">
        <v>925</v>
      </c>
      <c r="H16">
        <v>910</v>
      </c>
      <c r="J16" s="9" t="s">
        <v>4</v>
      </c>
      <c r="K16" s="7"/>
    </row>
    <row r="17" spans="1:13" x14ac:dyDescent="0.3">
      <c r="B17">
        <v>4</v>
      </c>
      <c r="C17">
        <v>900</v>
      </c>
      <c r="D17">
        <v>890</v>
      </c>
      <c r="E17">
        <v>870</v>
      </c>
      <c r="F17">
        <v>910</v>
      </c>
      <c r="G17">
        <v>880</v>
      </c>
      <c r="H17">
        <v>870</v>
      </c>
      <c r="J17" s="6" t="s">
        <v>126</v>
      </c>
      <c r="K17" s="4"/>
    </row>
    <row r="18" spans="1:13" x14ac:dyDescent="0.3">
      <c r="B18">
        <v>5</v>
      </c>
      <c r="C18">
        <v>895</v>
      </c>
      <c r="D18">
        <v>865</v>
      </c>
      <c r="E18">
        <v>855</v>
      </c>
      <c r="F18">
        <v>895</v>
      </c>
      <c r="G18">
        <v>875</v>
      </c>
      <c r="H18">
        <v>855</v>
      </c>
      <c r="J18" s="23"/>
      <c r="K18" s="23"/>
      <c r="L18" s="23"/>
      <c r="M18" s="23"/>
    </row>
    <row r="19" spans="1:13" x14ac:dyDescent="0.3">
      <c r="B19">
        <v>6</v>
      </c>
      <c r="C19">
        <v>0</v>
      </c>
      <c r="D19">
        <v>0</v>
      </c>
      <c r="E19">
        <v>0</v>
      </c>
      <c r="F19">
        <v>0</v>
      </c>
      <c r="G19">
        <v>0</v>
      </c>
      <c r="H19">
        <v>0</v>
      </c>
      <c r="J19" s="21" t="s">
        <v>122</v>
      </c>
      <c r="K19" s="1">
        <v>0.02</v>
      </c>
    </row>
    <row r="20" spans="1:13" x14ac:dyDescent="0.3">
      <c r="J20" s="21"/>
      <c r="K20" s="1"/>
    </row>
    <row r="21" spans="1:13" x14ac:dyDescent="0.3">
      <c r="B21" t="s">
        <v>125</v>
      </c>
    </row>
    <row r="22" spans="1:13" x14ac:dyDescent="0.3">
      <c r="B22" t="s">
        <v>124</v>
      </c>
    </row>
    <row r="24" spans="1:13" x14ac:dyDescent="0.3">
      <c r="A24" t="s">
        <v>1</v>
      </c>
      <c r="B24" t="s">
        <v>205</v>
      </c>
    </row>
    <row r="27" spans="1:13" x14ac:dyDescent="0.3">
      <c r="C27" s="11"/>
      <c r="D27" s="11" t="s">
        <v>122</v>
      </c>
      <c r="E27" s="11" t="s">
        <v>153</v>
      </c>
      <c r="F27" s="11"/>
      <c r="G27" s="11"/>
      <c r="I27" s="64"/>
      <c r="J27" s="64"/>
    </row>
    <row r="28" spans="1:13" x14ac:dyDescent="0.3">
      <c r="C28" s="11"/>
      <c r="D28" s="11">
        <v>1.02</v>
      </c>
      <c r="E28" s="11">
        <v>1.05</v>
      </c>
      <c r="F28" s="11"/>
      <c r="G28" s="11"/>
      <c r="I28" t="s">
        <v>152</v>
      </c>
    </row>
    <row r="29" spans="1:13" x14ac:dyDescent="0.3">
      <c r="B29" s="10" t="s">
        <v>200</v>
      </c>
      <c r="C29" s="11"/>
      <c r="D29" s="11"/>
      <c r="E29" s="11"/>
      <c r="F29" s="11"/>
      <c r="G29" s="11"/>
      <c r="I29" t="s">
        <v>151</v>
      </c>
    </row>
    <row r="30" spans="1:13" x14ac:dyDescent="0.3">
      <c r="B30" t="s">
        <v>139</v>
      </c>
      <c r="C30" s="11" t="s">
        <v>138</v>
      </c>
      <c r="D30" s="11" t="s">
        <v>3</v>
      </c>
      <c r="E30" s="11" t="s">
        <v>119</v>
      </c>
      <c r="F30" s="11" t="s">
        <v>120</v>
      </c>
      <c r="G30" s="11"/>
    </row>
    <row r="31" spans="1:13" x14ac:dyDescent="0.3">
      <c r="B31">
        <v>0</v>
      </c>
      <c r="C31" s="30">
        <f t="shared" ref="C31:C36" si="0">D13/D$13</f>
        <v>1</v>
      </c>
      <c r="D31" s="30">
        <f t="shared" ref="D31:D36" si="1">$D$28^-B31</f>
        <v>1</v>
      </c>
      <c r="E31" s="27">
        <v>0</v>
      </c>
      <c r="F31" s="27">
        <f>E38/E40</f>
        <v>18854.773620357413</v>
      </c>
      <c r="G31" s="11"/>
      <c r="I31" t="s">
        <v>150</v>
      </c>
    </row>
    <row r="32" spans="1:13" x14ac:dyDescent="0.3">
      <c r="B32">
        <v>1</v>
      </c>
      <c r="C32" s="30">
        <f t="shared" si="0"/>
        <v>0.98</v>
      </c>
      <c r="D32" s="30">
        <f t="shared" si="1"/>
        <v>0.98039215686274506</v>
      </c>
      <c r="E32" s="27">
        <f>$M$12</f>
        <v>18000</v>
      </c>
      <c r="F32" s="27">
        <f>F31</f>
        <v>18854.773620357413</v>
      </c>
      <c r="G32" s="11"/>
      <c r="I32" t="s">
        <v>149</v>
      </c>
    </row>
    <row r="33" spans="2:9" x14ac:dyDescent="0.3">
      <c r="B33">
        <v>2</v>
      </c>
      <c r="C33" s="30">
        <f t="shared" si="0"/>
        <v>0.95499999999999996</v>
      </c>
      <c r="D33" s="30">
        <f t="shared" si="1"/>
        <v>0.96116878123798544</v>
      </c>
      <c r="E33" s="27">
        <f>E32*$E$28</f>
        <v>18900</v>
      </c>
      <c r="F33" s="27">
        <f>F32</f>
        <v>18854.773620357413</v>
      </c>
      <c r="G33" s="63" t="s">
        <v>191</v>
      </c>
      <c r="I33" t="s">
        <v>148</v>
      </c>
    </row>
    <row r="34" spans="2:9" x14ac:dyDescent="0.3">
      <c r="B34">
        <v>3</v>
      </c>
      <c r="C34" s="30">
        <f t="shared" si="0"/>
        <v>0.92500000000000004</v>
      </c>
      <c r="D34" s="30">
        <f t="shared" si="1"/>
        <v>0.94232233454704462</v>
      </c>
      <c r="E34" s="27">
        <f>E33*$E$28</f>
        <v>19845</v>
      </c>
      <c r="F34" s="27">
        <f>F33</f>
        <v>18854.773620357413</v>
      </c>
      <c r="G34" s="11"/>
      <c r="I34" t="s">
        <v>172</v>
      </c>
    </row>
    <row r="35" spans="2:9" x14ac:dyDescent="0.3">
      <c r="B35">
        <v>4</v>
      </c>
      <c r="C35" s="30">
        <f t="shared" si="0"/>
        <v>0.89</v>
      </c>
      <c r="D35" s="30">
        <f t="shared" si="1"/>
        <v>0.9238454260265142</v>
      </c>
      <c r="E35" s="27">
        <f>E34*$E$28</f>
        <v>20837.25</v>
      </c>
      <c r="F35" s="27">
        <f>F34</f>
        <v>18854.773620357413</v>
      </c>
      <c r="G35" s="11"/>
      <c r="I35" t="s">
        <v>147</v>
      </c>
    </row>
    <row r="36" spans="2:9" x14ac:dyDescent="0.3">
      <c r="B36">
        <v>5</v>
      </c>
      <c r="C36" s="30">
        <f t="shared" si="0"/>
        <v>0.86499999999999999</v>
      </c>
      <c r="D36" s="30">
        <f t="shared" si="1"/>
        <v>0.90573080982991594</v>
      </c>
      <c r="E36" s="27">
        <f>E35*$E$28</f>
        <v>21879.112499999999</v>
      </c>
      <c r="F36" s="27">
        <v>0</v>
      </c>
      <c r="G36" s="11"/>
    </row>
    <row r="37" spans="2:9" x14ac:dyDescent="0.3">
      <c r="C37" s="11"/>
      <c r="D37" s="11"/>
      <c r="E37" s="27"/>
      <c r="F37" s="11"/>
      <c r="G37" s="11"/>
    </row>
    <row r="38" spans="2:9" x14ac:dyDescent="0.3">
      <c r="C38" s="11"/>
      <c r="D38" s="11" t="s">
        <v>137</v>
      </c>
      <c r="E38" s="27">
        <f>SUMPRODUCT(C31:C36,D31:D36,E31:E36)</f>
        <v>86214.792735289549</v>
      </c>
      <c r="F38" s="11"/>
      <c r="G38" s="11"/>
      <c r="I38" t="s">
        <v>146</v>
      </c>
    </row>
    <row r="39" spans="2:9" x14ac:dyDescent="0.3">
      <c r="C39" s="11"/>
      <c r="D39" s="11"/>
      <c r="E39" s="27"/>
      <c r="F39" s="11"/>
      <c r="G39" s="11"/>
    </row>
    <row r="40" spans="2:9" x14ac:dyDescent="0.3">
      <c r="C40" s="11"/>
      <c r="D40" s="11" t="s">
        <v>136</v>
      </c>
      <c r="E40" s="27">
        <f>SUMPRODUCT(C31:C35,D31:D35)</f>
        <v>4.57257108842738</v>
      </c>
      <c r="F40" s="11"/>
      <c r="G40" s="11"/>
      <c r="I40" t="s">
        <v>145</v>
      </c>
    </row>
    <row r="41" spans="2:9" x14ac:dyDescent="0.3">
      <c r="C41" s="11"/>
      <c r="D41" s="11" t="s">
        <v>135</v>
      </c>
      <c r="E41" s="27">
        <f>SUMPRODUCT(C31:C36,D31:D36,F31:F36)</f>
        <v>86214.792735289549</v>
      </c>
      <c r="F41" s="11"/>
      <c r="G41" s="11"/>
      <c r="I41" t="s">
        <v>144</v>
      </c>
    </row>
    <row r="42" spans="2:9" x14ac:dyDescent="0.3">
      <c r="C42" s="11"/>
      <c r="D42" s="11"/>
      <c r="E42" s="27"/>
      <c r="F42" s="11"/>
      <c r="G42" s="11"/>
    </row>
    <row r="43" spans="2:9" x14ac:dyDescent="0.3">
      <c r="B43" t="str">
        <f>B30</f>
        <v>Duration</v>
      </c>
      <c r="C43" s="11" t="str">
        <f>C30</f>
        <v>Persistency</v>
      </c>
      <c r="D43" s="11" t="str">
        <f>D30</f>
        <v>Discount</v>
      </c>
      <c r="E43" s="11" t="str">
        <f>E30</f>
        <v>Claims</v>
      </c>
      <c r="F43" s="11" t="str">
        <f>F30</f>
        <v>Premium</v>
      </c>
      <c r="G43" s="11"/>
      <c r="I43" t="s">
        <v>143</v>
      </c>
    </row>
    <row r="44" spans="2:9" x14ac:dyDescent="0.3">
      <c r="B44">
        <f t="shared" ref="B44:B49" si="2">B31</f>
        <v>0</v>
      </c>
      <c r="C44" s="30">
        <f t="shared" ref="C44:D49" si="3">C31/C$33</f>
        <v>1.0471204188481675</v>
      </c>
      <c r="D44" s="30">
        <f t="shared" si="3"/>
        <v>1.0404</v>
      </c>
      <c r="E44" s="27">
        <f t="shared" ref="E44:F49" si="4">E31</f>
        <v>0</v>
      </c>
      <c r="F44" s="27">
        <f t="shared" si="4"/>
        <v>18854.773620357413</v>
      </c>
      <c r="G44" s="27"/>
      <c r="I44" t="s">
        <v>142</v>
      </c>
    </row>
    <row r="45" spans="2:9" x14ac:dyDescent="0.3">
      <c r="B45">
        <f t="shared" si="2"/>
        <v>1</v>
      </c>
      <c r="C45" s="30">
        <f t="shared" si="3"/>
        <v>1.0261780104712042</v>
      </c>
      <c r="D45" s="30">
        <f t="shared" si="3"/>
        <v>1.02</v>
      </c>
      <c r="E45" s="27">
        <f t="shared" si="4"/>
        <v>18000</v>
      </c>
      <c r="F45" s="27">
        <f t="shared" si="4"/>
        <v>18854.773620357413</v>
      </c>
      <c r="G45" s="27"/>
    </row>
    <row r="46" spans="2:9" x14ac:dyDescent="0.3">
      <c r="B46">
        <f t="shared" si="2"/>
        <v>2</v>
      </c>
      <c r="C46" s="30">
        <f t="shared" si="3"/>
        <v>1</v>
      </c>
      <c r="D46" s="30">
        <f t="shared" si="3"/>
        <v>1</v>
      </c>
      <c r="E46" s="27">
        <f t="shared" si="4"/>
        <v>18900</v>
      </c>
      <c r="F46" s="27">
        <f t="shared" si="4"/>
        <v>18854.773620357413</v>
      </c>
      <c r="G46" s="63" t="s">
        <v>191</v>
      </c>
    </row>
    <row r="47" spans="2:9" x14ac:dyDescent="0.3">
      <c r="B47">
        <f t="shared" si="2"/>
        <v>3</v>
      </c>
      <c r="C47" s="30">
        <f t="shared" si="3"/>
        <v>0.96858638743455505</v>
      </c>
      <c r="D47" s="30">
        <f t="shared" si="3"/>
        <v>0.98039215686274517</v>
      </c>
      <c r="E47" s="27">
        <f t="shared" si="4"/>
        <v>19845</v>
      </c>
      <c r="F47" s="27">
        <f t="shared" si="4"/>
        <v>18854.773620357413</v>
      </c>
      <c r="G47" s="27"/>
    </row>
    <row r="48" spans="2:9" x14ac:dyDescent="0.3">
      <c r="B48">
        <f t="shared" si="2"/>
        <v>4</v>
      </c>
      <c r="C48" s="30">
        <f t="shared" si="3"/>
        <v>0.9319371727748692</v>
      </c>
      <c r="D48" s="30">
        <f t="shared" si="3"/>
        <v>0.96116878123798533</v>
      </c>
      <c r="E48" s="27">
        <f t="shared" si="4"/>
        <v>20837.25</v>
      </c>
      <c r="F48" s="27">
        <f t="shared" si="4"/>
        <v>18854.773620357413</v>
      </c>
      <c r="G48" s="27"/>
    </row>
    <row r="49" spans="2:9" x14ac:dyDescent="0.3">
      <c r="B49">
        <f t="shared" si="2"/>
        <v>5</v>
      </c>
      <c r="C49" s="30">
        <f t="shared" si="3"/>
        <v>0.90575916230366493</v>
      </c>
      <c r="D49" s="30">
        <f t="shared" si="3"/>
        <v>0.9423223345470445</v>
      </c>
      <c r="E49" s="27">
        <f t="shared" si="4"/>
        <v>21879.112499999999</v>
      </c>
      <c r="F49" s="27">
        <f t="shared" si="4"/>
        <v>0</v>
      </c>
      <c r="G49" s="27"/>
    </row>
    <row r="50" spans="2:9" ht="15" thickBot="1" x14ac:dyDescent="0.35">
      <c r="C50" s="11"/>
      <c r="D50" s="11"/>
      <c r="E50" s="27"/>
      <c r="F50" s="27"/>
      <c r="G50" s="27" t="s">
        <v>134</v>
      </c>
      <c r="I50" t="s">
        <v>141</v>
      </c>
    </row>
    <row r="51" spans="2:9" ht="15" thickBot="1" x14ac:dyDescent="0.35">
      <c r="C51" s="11"/>
      <c r="D51" s="11" t="s">
        <v>133</v>
      </c>
      <c r="E51" s="27">
        <f>SUMPRODUCT(C47:C49,D47:D49,E47:E49)</f>
        <v>56183.843310780358</v>
      </c>
      <c r="F51" s="27">
        <f>SUMPRODUCT(C46:C48,D46:D48,F46:F48)</f>
        <v>53648.305943734158</v>
      </c>
      <c r="G51" s="38">
        <f>E51-F51</f>
        <v>2535.5373670461995</v>
      </c>
      <c r="I51" s="66" t="s">
        <v>173</v>
      </c>
    </row>
    <row r="52" spans="2:9" ht="15" thickBot="1" x14ac:dyDescent="0.35">
      <c r="C52" s="11"/>
      <c r="D52" s="11" t="s">
        <v>132</v>
      </c>
      <c r="E52" s="27">
        <f>SUMPRODUCT(C45:C46,D45:D46,E45:E46)</f>
        <v>37740.628272251306</v>
      </c>
      <c r="F52" s="27">
        <f>SUMPRODUCT(C44:C45,D44:D45,F44:F45)</f>
        <v>40276.165639297513</v>
      </c>
      <c r="G52" s="38">
        <f>F52-E52</f>
        <v>2535.5373670462068</v>
      </c>
      <c r="I52" s="66" t="s">
        <v>174</v>
      </c>
    </row>
    <row r="53" spans="2:9" x14ac:dyDescent="0.3">
      <c r="C53" s="11"/>
      <c r="D53" s="11"/>
      <c r="E53" s="11"/>
      <c r="F53" s="11"/>
      <c r="G53" s="11"/>
    </row>
    <row r="54" spans="2:9" x14ac:dyDescent="0.3">
      <c r="B54" s="10" t="s">
        <v>201</v>
      </c>
      <c r="C54" s="11"/>
      <c r="D54" s="11"/>
      <c r="E54" s="11"/>
      <c r="F54" s="11"/>
      <c r="G54" s="11"/>
    </row>
    <row r="55" spans="2:9" x14ac:dyDescent="0.3">
      <c r="B55" t="s">
        <v>139</v>
      </c>
      <c r="C55" s="11" t="s">
        <v>138</v>
      </c>
      <c r="D55" s="11" t="s">
        <v>3</v>
      </c>
      <c r="E55" s="11" t="s">
        <v>119</v>
      </c>
      <c r="F55" s="11" t="s">
        <v>120</v>
      </c>
      <c r="G55" s="11"/>
      <c r="I55" t="s">
        <v>140</v>
      </c>
    </row>
    <row r="56" spans="2:9" x14ac:dyDescent="0.3">
      <c r="B56">
        <v>0</v>
      </c>
      <c r="C56" s="30">
        <f t="shared" ref="C56:C61" si="5">F$13/F13</f>
        <v>1</v>
      </c>
      <c r="D56" s="30">
        <f t="shared" ref="D56:D61" si="6">$D$28^-B56</f>
        <v>1</v>
      </c>
      <c r="E56" s="27">
        <v>0</v>
      </c>
      <c r="F56" s="27">
        <f>E63/E65</f>
        <v>9979.4917518685852</v>
      </c>
      <c r="G56" s="11"/>
    </row>
    <row r="57" spans="2:9" x14ac:dyDescent="0.3">
      <c r="B57">
        <v>1</v>
      </c>
      <c r="C57" s="30">
        <f t="shared" si="5"/>
        <v>1</v>
      </c>
      <c r="D57" s="30">
        <f t="shared" si="6"/>
        <v>0.98039215686274506</v>
      </c>
      <c r="E57" s="27">
        <f>$M$13</f>
        <v>9000</v>
      </c>
      <c r="F57" s="27">
        <f>F56</f>
        <v>9979.4917518685852</v>
      </c>
      <c r="G57" s="11"/>
    </row>
    <row r="58" spans="2:9" x14ac:dyDescent="0.3">
      <c r="B58">
        <v>2</v>
      </c>
      <c r="C58" s="30">
        <f t="shared" si="5"/>
        <v>1.0204081632653061</v>
      </c>
      <c r="D58" s="30">
        <f t="shared" si="6"/>
        <v>0.96116878123798544</v>
      </c>
      <c r="E58" s="27">
        <f>E57*$E$28</f>
        <v>9450</v>
      </c>
      <c r="F58" s="27">
        <f>F57</f>
        <v>9979.4917518685852</v>
      </c>
      <c r="G58" s="11"/>
    </row>
    <row r="59" spans="2:9" x14ac:dyDescent="0.3">
      <c r="B59">
        <v>3</v>
      </c>
      <c r="C59" s="30">
        <f t="shared" si="5"/>
        <v>1.0695187165775402</v>
      </c>
      <c r="D59" s="30">
        <f t="shared" si="6"/>
        <v>0.94232233454704462</v>
      </c>
      <c r="E59" s="27">
        <f>E58*$E$28</f>
        <v>9922.5</v>
      </c>
      <c r="F59" s="27">
        <f>F58</f>
        <v>9979.4917518685852</v>
      </c>
      <c r="G59" s="63" t="s">
        <v>191</v>
      </c>
    </row>
    <row r="60" spans="2:9" x14ac:dyDescent="0.3">
      <c r="B60">
        <v>4</v>
      </c>
      <c r="C60" s="30">
        <f t="shared" si="5"/>
        <v>1.098901098901099</v>
      </c>
      <c r="D60" s="30">
        <f t="shared" si="6"/>
        <v>0.9238454260265142</v>
      </c>
      <c r="E60" s="27">
        <f>E59*$E$28</f>
        <v>10418.625</v>
      </c>
      <c r="F60" s="27">
        <f>F59</f>
        <v>9979.4917518685852</v>
      </c>
      <c r="G60" s="11"/>
    </row>
    <row r="61" spans="2:9" x14ac:dyDescent="0.3">
      <c r="B61">
        <v>5</v>
      </c>
      <c r="C61" s="30">
        <f t="shared" si="5"/>
        <v>1.1173184357541899</v>
      </c>
      <c r="D61" s="30">
        <f t="shared" si="6"/>
        <v>0.90573080982991594</v>
      </c>
      <c r="E61" s="27">
        <f>E60*$E$28</f>
        <v>10939.55625</v>
      </c>
      <c r="F61" s="27">
        <v>0</v>
      </c>
      <c r="G61" s="11"/>
    </row>
    <row r="62" spans="2:9" x14ac:dyDescent="0.3">
      <c r="C62" s="11"/>
      <c r="D62" s="11"/>
      <c r="E62" s="11"/>
      <c r="F62" s="11"/>
      <c r="G62" s="11"/>
    </row>
    <row r="63" spans="2:9" x14ac:dyDescent="0.3">
      <c r="C63" s="11"/>
      <c r="D63" s="11" t="s">
        <v>137</v>
      </c>
      <c r="E63" s="27">
        <f>SUMPRODUCT(C56:C61,D56:D61,E56:E61)</f>
        <v>49740.009875354852</v>
      </c>
      <c r="F63" s="27"/>
      <c r="G63" s="27"/>
    </row>
    <row r="64" spans="2:9" x14ac:dyDescent="0.3">
      <c r="C64" s="11"/>
      <c r="D64" s="11"/>
      <c r="E64" s="27"/>
      <c r="F64" s="27"/>
      <c r="G64" s="27"/>
    </row>
    <row r="65" spans="2:7" x14ac:dyDescent="0.3">
      <c r="C65" s="11"/>
      <c r="D65" s="11" t="s">
        <v>136</v>
      </c>
      <c r="E65" s="27">
        <f>SUMPRODUCT(C56:C60,D56:D60)</f>
        <v>4.9842227552361482</v>
      </c>
      <c r="F65" s="27"/>
      <c r="G65" s="27"/>
    </row>
    <row r="66" spans="2:7" x14ac:dyDescent="0.3">
      <c r="C66" s="11"/>
      <c r="D66" s="11" t="s">
        <v>135</v>
      </c>
      <c r="E66" s="27">
        <f>SUMPRODUCT(C56:C61,D56:D61,F56:F61)</f>
        <v>49740.009875354852</v>
      </c>
      <c r="F66" s="27"/>
      <c r="G66" s="27"/>
    </row>
    <row r="67" spans="2:7" x14ac:dyDescent="0.3">
      <c r="C67" s="11"/>
      <c r="D67" s="11"/>
      <c r="E67" s="27"/>
      <c r="F67" s="27"/>
      <c r="G67" s="27"/>
    </row>
    <row r="68" spans="2:7" x14ac:dyDescent="0.3">
      <c r="B68" t="str">
        <f>B55</f>
        <v>Duration</v>
      </c>
      <c r="C68" s="11" t="str">
        <f>C55</f>
        <v>Persistency</v>
      </c>
      <c r="D68" s="11" t="str">
        <f>D55</f>
        <v>Discount</v>
      </c>
      <c r="E68" s="27" t="str">
        <f>E55</f>
        <v>Claims</v>
      </c>
      <c r="F68" s="27" t="str">
        <f>F55</f>
        <v>Premium</v>
      </c>
      <c r="G68" s="27"/>
    </row>
    <row r="69" spans="2:7" x14ac:dyDescent="0.3">
      <c r="B69">
        <f t="shared" ref="B69:B74" si="7">B56</f>
        <v>0</v>
      </c>
      <c r="C69" s="30">
        <f t="shared" ref="C69:D74" si="8">C56/C$59</f>
        <v>0.93499999999999994</v>
      </c>
      <c r="D69" s="30">
        <f t="shared" si="8"/>
        <v>1.0612079999999999</v>
      </c>
      <c r="E69" s="27">
        <f t="shared" ref="E69:F74" si="9">E56</f>
        <v>0</v>
      </c>
      <c r="F69" s="27">
        <f t="shared" si="9"/>
        <v>9979.4917518685852</v>
      </c>
      <c r="G69" s="27"/>
    </row>
    <row r="70" spans="2:7" x14ac:dyDescent="0.3">
      <c r="B70">
        <f t="shared" si="7"/>
        <v>1</v>
      </c>
      <c r="C70" s="30">
        <f t="shared" si="8"/>
        <v>0.93499999999999994</v>
      </c>
      <c r="D70" s="30">
        <f t="shared" si="8"/>
        <v>1.0403999999999998</v>
      </c>
      <c r="E70" s="27">
        <f t="shared" si="9"/>
        <v>9000</v>
      </c>
      <c r="F70" s="27">
        <f t="shared" si="9"/>
        <v>9979.4917518685852</v>
      </c>
      <c r="G70" s="57"/>
    </row>
    <row r="71" spans="2:7" x14ac:dyDescent="0.3">
      <c r="B71">
        <f t="shared" si="7"/>
        <v>2</v>
      </c>
      <c r="C71" s="30">
        <f t="shared" si="8"/>
        <v>0.95408163265306123</v>
      </c>
      <c r="D71" s="30">
        <f t="shared" si="8"/>
        <v>1.02</v>
      </c>
      <c r="E71" s="27">
        <f t="shared" si="9"/>
        <v>9450</v>
      </c>
      <c r="F71" s="27">
        <f t="shared" si="9"/>
        <v>9979.4917518685852</v>
      </c>
      <c r="G71" s="57"/>
    </row>
    <row r="72" spans="2:7" x14ac:dyDescent="0.3">
      <c r="B72">
        <f t="shared" si="7"/>
        <v>3</v>
      </c>
      <c r="C72" s="30">
        <f t="shared" si="8"/>
        <v>1</v>
      </c>
      <c r="D72" s="30">
        <f t="shared" si="8"/>
        <v>1</v>
      </c>
      <c r="E72" s="27">
        <f t="shared" si="9"/>
        <v>9922.5</v>
      </c>
      <c r="F72" s="27">
        <f t="shared" si="9"/>
        <v>9979.4917518685852</v>
      </c>
      <c r="G72" s="63" t="s">
        <v>191</v>
      </c>
    </row>
    <row r="73" spans="2:7" x14ac:dyDescent="0.3">
      <c r="B73">
        <f t="shared" si="7"/>
        <v>4</v>
      </c>
      <c r="C73" s="30">
        <f t="shared" si="8"/>
        <v>1.0274725274725276</v>
      </c>
      <c r="D73" s="30">
        <f t="shared" si="8"/>
        <v>0.98039215686274495</v>
      </c>
      <c r="E73" s="27">
        <f t="shared" si="9"/>
        <v>10418.625</v>
      </c>
      <c r="F73" s="27">
        <f t="shared" si="9"/>
        <v>9979.4917518685852</v>
      </c>
      <c r="G73" s="27"/>
    </row>
    <row r="74" spans="2:7" x14ac:dyDescent="0.3">
      <c r="B74">
        <f t="shared" si="7"/>
        <v>5</v>
      </c>
      <c r="C74" s="30">
        <f t="shared" si="8"/>
        <v>1.0446927374301676</v>
      </c>
      <c r="D74" s="30">
        <f t="shared" si="8"/>
        <v>0.96116878123798533</v>
      </c>
      <c r="E74" s="27">
        <f t="shared" si="9"/>
        <v>10939.55625</v>
      </c>
      <c r="F74" s="27">
        <f t="shared" si="9"/>
        <v>0</v>
      </c>
      <c r="G74" s="27"/>
    </row>
    <row r="75" spans="2:7" ht="15" thickBot="1" x14ac:dyDescent="0.35">
      <c r="C75" s="11"/>
      <c r="D75" s="11"/>
      <c r="E75" s="27"/>
      <c r="F75" s="27"/>
      <c r="G75" s="27" t="s">
        <v>134</v>
      </c>
    </row>
    <row r="76" spans="2:7" ht="15" thickBot="1" x14ac:dyDescent="0.35">
      <c r="C76" s="11"/>
      <c r="D76" s="11" t="s">
        <v>133</v>
      </c>
      <c r="E76" s="27">
        <f>SUMPRODUCT(C73:C74,D73:D74,E73:E74)</f>
        <v>21479.645276675343</v>
      </c>
      <c r="F76" s="27">
        <f>SUMPRODUCT(C72:C73,D72:D73,F72:F73)</f>
        <v>20032.093333421188</v>
      </c>
      <c r="G76" s="38">
        <f>E76-F76</f>
        <v>1447.551943254155</v>
      </c>
    </row>
    <row r="77" spans="2:7" ht="15" thickBot="1" x14ac:dyDescent="0.35">
      <c r="C77" s="11"/>
      <c r="D77" s="11" t="s">
        <v>132</v>
      </c>
      <c r="E77" s="27">
        <f>SUMPRODUCT(C70:C72,D70:D72,E70:E72)</f>
        <v>27873.858857142855</v>
      </c>
      <c r="F77" s="27">
        <f>SUMPRODUCT(C69:C71,D69:D71,F69:F71)</f>
        <v>29321.41080039701</v>
      </c>
      <c r="G77" s="38">
        <f>F77-E77</f>
        <v>1447.551943254155</v>
      </c>
    </row>
    <row r="78" spans="2:7" x14ac:dyDescent="0.3">
      <c r="C78" s="11"/>
      <c r="D78" s="11"/>
      <c r="E78" s="11"/>
      <c r="F78" s="11"/>
      <c r="G78" s="11"/>
    </row>
    <row r="79" spans="2:7" x14ac:dyDescent="0.3">
      <c r="B79" s="10" t="s">
        <v>202</v>
      </c>
      <c r="C79" s="11"/>
      <c r="D79" s="11"/>
      <c r="E79" s="11"/>
      <c r="F79" s="11"/>
      <c r="G79" s="11"/>
    </row>
    <row r="80" spans="2:7" x14ac:dyDescent="0.3">
      <c r="B80" t="s">
        <v>139</v>
      </c>
      <c r="C80" s="11" t="s">
        <v>138</v>
      </c>
      <c r="D80" s="11" t="s">
        <v>3</v>
      </c>
      <c r="E80" s="11" t="s">
        <v>119</v>
      </c>
      <c r="F80" s="11" t="s">
        <v>120</v>
      </c>
      <c r="G80" s="11"/>
    </row>
    <row r="81" spans="2:7" x14ac:dyDescent="0.3">
      <c r="B81">
        <v>0</v>
      </c>
      <c r="C81" s="30">
        <f t="shared" ref="C81:C86" si="10">E13/E$13</f>
        <v>1</v>
      </c>
      <c r="D81" s="30">
        <f t="shared" ref="D81:D86" si="11">$D$28^-B81</f>
        <v>1</v>
      </c>
      <c r="E81" s="27">
        <v>0</v>
      </c>
      <c r="F81" s="27">
        <f>E88/E90</f>
        <v>12531.778306397422</v>
      </c>
      <c r="G81" s="27"/>
    </row>
    <row r="82" spans="2:7" x14ac:dyDescent="0.3">
      <c r="B82">
        <v>1</v>
      </c>
      <c r="C82" s="30">
        <f t="shared" si="10"/>
        <v>0.96499999999999997</v>
      </c>
      <c r="D82" s="30">
        <f t="shared" si="11"/>
        <v>0.98039215686274506</v>
      </c>
      <c r="E82" s="27">
        <f>$M$14</f>
        <v>12000</v>
      </c>
      <c r="F82" s="27">
        <f>F81</f>
        <v>12531.778306397422</v>
      </c>
      <c r="G82" s="63" t="s">
        <v>191</v>
      </c>
    </row>
    <row r="83" spans="2:7" x14ac:dyDescent="0.3">
      <c r="B83">
        <v>2</v>
      </c>
      <c r="C83" s="30">
        <f t="shared" si="10"/>
        <v>0.93</v>
      </c>
      <c r="D83" s="30">
        <f t="shared" si="11"/>
        <v>0.96116878123798544</v>
      </c>
      <c r="E83" s="27">
        <f>E82*$E$28</f>
        <v>12600</v>
      </c>
      <c r="F83" s="27">
        <f>F82</f>
        <v>12531.778306397422</v>
      </c>
      <c r="G83" s="27"/>
    </row>
    <row r="84" spans="2:7" x14ac:dyDescent="0.3">
      <c r="B84">
        <v>3</v>
      </c>
      <c r="C84" s="30">
        <f t="shared" si="10"/>
        <v>0.89</v>
      </c>
      <c r="D84" s="30">
        <f t="shared" si="11"/>
        <v>0.94232233454704462</v>
      </c>
      <c r="E84" s="27">
        <f>E83*$E$28</f>
        <v>13230</v>
      </c>
      <c r="F84" s="27">
        <f>F83</f>
        <v>12531.778306397422</v>
      </c>
      <c r="G84" s="57"/>
    </row>
    <row r="85" spans="2:7" x14ac:dyDescent="0.3">
      <c r="B85">
        <v>4</v>
      </c>
      <c r="C85" s="30">
        <f t="shared" si="10"/>
        <v>0.87</v>
      </c>
      <c r="D85" s="30">
        <f t="shared" si="11"/>
        <v>0.9238454260265142</v>
      </c>
      <c r="E85" s="27">
        <f>E84*$E$28</f>
        <v>13891.5</v>
      </c>
      <c r="F85" s="27">
        <f>F84</f>
        <v>12531.778306397422</v>
      </c>
      <c r="G85" s="27"/>
    </row>
    <row r="86" spans="2:7" x14ac:dyDescent="0.3">
      <c r="B86">
        <v>5</v>
      </c>
      <c r="C86" s="30">
        <f t="shared" si="10"/>
        <v>0.85499999999999998</v>
      </c>
      <c r="D86" s="30">
        <f t="shared" si="11"/>
        <v>0.90573080982991594</v>
      </c>
      <c r="E86" s="27">
        <f>E85*$E$28</f>
        <v>14586.075000000001</v>
      </c>
      <c r="F86" s="27">
        <v>0</v>
      </c>
      <c r="G86" s="27"/>
    </row>
    <row r="87" spans="2:7" x14ac:dyDescent="0.3">
      <c r="C87" s="11"/>
      <c r="D87" s="11"/>
      <c r="E87" s="27"/>
      <c r="F87" s="27"/>
      <c r="G87" s="27"/>
    </row>
    <row r="88" spans="2:7" x14ac:dyDescent="0.3">
      <c r="C88" s="11"/>
      <c r="D88" s="11" t="s">
        <v>137</v>
      </c>
      <c r="E88" s="27">
        <f>SUMPRODUCT(C81:C86,D81:D86,E81:E86)</f>
        <v>56172.16482892292</v>
      </c>
      <c r="F88" s="27"/>
      <c r="G88" s="27"/>
    </row>
    <row r="89" spans="2:7" x14ac:dyDescent="0.3">
      <c r="C89" s="11"/>
      <c r="D89" s="11"/>
      <c r="E89" s="27"/>
      <c r="F89" s="27"/>
      <c r="G89" s="27"/>
    </row>
    <row r="90" spans="2:7" x14ac:dyDescent="0.3">
      <c r="C90" s="11"/>
      <c r="D90" s="11" t="s">
        <v>136</v>
      </c>
      <c r="E90" s="58">
        <f>SUMPRODUCT(C81:C85,D81:D85)</f>
        <v>4.4823777963138127</v>
      </c>
      <c r="F90" s="27"/>
      <c r="G90" s="27"/>
    </row>
    <row r="91" spans="2:7" x14ac:dyDescent="0.3">
      <c r="C91" s="11"/>
      <c r="D91" s="11" t="s">
        <v>135</v>
      </c>
      <c r="E91" s="27">
        <f>SUMPRODUCT(C81:C86,D81:D86,F81:F86)</f>
        <v>56172.16482892292</v>
      </c>
      <c r="F91" s="27"/>
      <c r="G91" s="27"/>
    </row>
    <row r="92" spans="2:7" x14ac:dyDescent="0.3">
      <c r="C92" s="11"/>
      <c r="D92" s="11"/>
      <c r="E92" s="27"/>
      <c r="F92" s="27"/>
      <c r="G92" s="27"/>
    </row>
    <row r="93" spans="2:7" x14ac:dyDescent="0.3">
      <c r="B93" t="str">
        <f>B80</f>
        <v>Duration</v>
      </c>
      <c r="C93" s="11" t="str">
        <f>C80</f>
        <v>Persistency</v>
      </c>
      <c r="D93" s="11" t="str">
        <f>D80</f>
        <v>Discount</v>
      </c>
      <c r="E93" s="27" t="str">
        <f>E80</f>
        <v>Claims</v>
      </c>
      <c r="F93" s="27" t="str">
        <f>F80</f>
        <v>Premium</v>
      </c>
      <c r="G93" s="27"/>
    </row>
    <row r="94" spans="2:7" x14ac:dyDescent="0.3">
      <c r="B94">
        <f t="shared" ref="B94:B99" si="12">B81</f>
        <v>0</v>
      </c>
      <c r="C94" s="30">
        <f t="shared" ref="C94:D99" si="13">C81/C$82</f>
        <v>1.0362694300518136</v>
      </c>
      <c r="D94" s="30">
        <f t="shared" si="13"/>
        <v>1.02</v>
      </c>
      <c r="E94" s="27">
        <f t="shared" ref="E94:F99" si="14">E81</f>
        <v>0</v>
      </c>
      <c r="F94" s="27">
        <f t="shared" si="14"/>
        <v>12531.778306397422</v>
      </c>
      <c r="G94" s="27"/>
    </row>
    <row r="95" spans="2:7" x14ac:dyDescent="0.3">
      <c r="B95">
        <f t="shared" si="12"/>
        <v>1</v>
      </c>
      <c r="C95" s="30">
        <f t="shared" si="13"/>
        <v>1</v>
      </c>
      <c r="D95" s="30">
        <f t="shared" si="13"/>
        <v>1</v>
      </c>
      <c r="E95" s="27">
        <f t="shared" si="14"/>
        <v>12000</v>
      </c>
      <c r="F95" s="27">
        <f t="shared" si="14"/>
        <v>12531.778306397422</v>
      </c>
      <c r="G95" s="63" t="s">
        <v>191</v>
      </c>
    </row>
    <row r="96" spans="2:7" x14ac:dyDescent="0.3">
      <c r="B96">
        <f t="shared" si="12"/>
        <v>2</v>
      </c>
      <c r="C96" s="30">
        <f t="shared" si="13"/>
        <v>0.96373056994818662</v>
      </c>
      <c r="D96" s="30">
        <f t="shared" si="13"/>
        <v>0.98039215686274517</v>
      </c>
      <c r="E96" s="27">
        <f t="shared" si="14"/>
        <v>12600</v>
      </c>
      <c r="F96" s="27">
        <f t="shared" si="14"/>
        <v>12531.778306397422</v>
      </c>
      <c r="G96" s="27"/>
    </row>
    <row r="97" spans="2:7" x14ac:dyDescent="0.3">
      <c r="B97">
        <f t="shared" si="12"/>
        <v>3</v>
      </c>
      <c r="C97" s="30">
        <f t="shared" si="13"/>
        <v>0.92227979274611405</v>
      </c>
      <c r="D97" s="30">
        <f t="shared" si="13"/>
        <v>0.96116878123798555</v>
      </c>
      <c r="E97" s="27">
        <f t="shared" si="14"/>
        <v>13230</v>
      </c>
      <c r="F97" s="27">
        <f t="shared" si="14"/>
        <v>12531.778306397422</v>
      </c>
      <c r="G97" s="27"/>
    </row>
    <row r="98" spans="2:7" x14ac:dyDescent="0.3">
      <c r="B98">
        <f t="shared" si="12"/>
        <v>4</v>
      </c>
      <c r="C98" s="30">
        <f t="shared" si="13"/>
        <v>0.9015544041450777</v>
      </c>
      <c r="D98" s="30">
        <f t="shared" si="13"/>
        <v>0.9423223345470445</v>
      </c>
      <c r="E98" s="27">
        <f t="shared" si="14"/>
        <v>13891.5</v>
      </c>
      <c r="F98" s="27">
        <f t="shared" si="14"/>
        <v>12531.778306397422</v>
      </c>
      <c r="G98" s="27"/>
    </row>
    <row r="99" spans="2:7" x14ac:dyDescent="0.3">
      <c r="B99">
        <f t="shared" si="12"/>
        <v>5</v>
      </c>
      <c r="C99" s="30">
        <f t="shared" si="13"/>
        <v>0.88601036269430056</v>
      </c>
      <c r="D99" s="30">
        <f t="shared" si="13"/>
        <v>0.92384542602651432</v>
      </c>
      <c r="E99" s="27">
        <f t="shared" si="14"/>
        <v>14586.075000000001</v>
      </c>
      <c r="F99" s="27">
        <f t="shared" si="14"/>
        <v>0</v>
      </c>
      <c r="G99" s="27"/>
    </row>
    <row r="100" spans="2:7" ht="15" thickBot="1" x14ac:dyDescent="0.35">
      <c r="C100" s="11"/>
      <c r="D100" s="11"/>
      <c r="E100" s="27"/>
      <c r="F100" s="27"/>
      <c r="G100" s="27" t="s">
        <v>134</v>
      </c>
    </row>
    <row r="101" spans="2:7" ht="15" thickBot="1" x14ac:dyDescent="0.35">
      <c r="C101" s="11"/>
      <c r="D101" s="11" t="s">
        <v>133</v>
      </c>
      <c r="E101" s="27">
        <f>SUMPRODUCT(C96:C99,D96:D99,E96:E99)</f>
        <v>47373.687176685366</v>
      </c>
      <c r="F101" s="27">
        <f>SUMPRODUCT(C95:C98,D95:D98,F95:F98)</f>
        <v>46127.6624383171</v>
      </c>
      <c r="G101" s="38">
        <f>E101-F101</f>
        <v>1246.0247383682654</v>
      </c>
    </row>
    <row r="102" spans="2:7" ht="15" thickBot="1" x14ac:dyDescent="0.35">
      <c r="C102" s="11"/>
      <c r="D102" s="11" t="s">
        <v>132</v>
      </c>
      <c r="E102" s="27">
        <f>SUMPRODUCT(C95,D95,E95)</f>
        <v>12000</v>
      </c>
      <c r="F102" s="27">
        <f>SUMPRODUCT(C94,D94,F94)</f>
        <v>13246.024738368262</v>
      </c>
      <c r="G102" s="38">
        <f>F102-E102</f>
        <v>1246.0247383682618</v>
      </c>
    </row>
    <row r="103" spans="2:7" x14ac:dyDescent="0.3">
      <c r="C103" s="11"/>
      <c r="D103" s="11"/>
      <c r="E103" s="11"/>
      <c r="F103" s="11"/>
      <c r="G103" s="11"/>
    </row>
    <row r="104" spans="2:7" x14ac:dyDescent="0.3">
      <c r="C104" s="11"/>
      <c r="D104" s="11"/>
      <c r="E104" s="11"/>
      <c r="F104" s="11"/>
      <c r="G104" s="11"/>
    </row>
    <row r="105" spans="2:7" x14ac:dyDescent="0.3">
      <c r="C105" s="11"/>
      <c r="D105" s="11"/>
      <c r="E105" s="11"/>
      <c r="F105" s="11"/>
      <c r="G105" s="11"/>
    </row>
    <row r="106" spans="2:7" x14ac:dyDescent="0.3">
      <c r="C106" s="11"/>
      <c r="D106" s="11"/>
      <c r="E106" s="11"/>
      <c r="F106" s="11"/>
      <c r="G106" s="11"/>
    </row>
    <row r="107" spans="2:7" x14ac:dyDescent="0.3">
      <c r="C107" s="11"/>
      <c r="D107" s="11"/>
      <c r="E107" s="11"/>
      <c r="F107" s="11"/>
      <c r="G107" s="11"/>
    </row>
    <row r="108" spans="2:7" x14ac:dyDescent="0.3">
      <c r="C108" s="11"/>
      <c r="D108" s="11"/>
      <c r="E108" s="11"/>
      <c r="F108" s="11"/>
      <c r="G108" s="11"/>
    </row>
    <row r="109" spans="2:7" x14ac:dyDescent="0.3">
      <c r="C109" s="11"/>
      <c r="D109" s="11"/>
      <c r="E109" s="11"/>
      <c r="F109" s="11"/>
      <c r="G109" s="11"/>
    </row>
    <row r="110" spans="2:7" x14ac:dyDescent="0.3">
      <c r="C110" s="11"/>
      <c r="D110" s="11"/>
      <c r="E110" s="11"/>
      <c r="F110" s="11"/>
      <c r="G110" s="11"/>
    </row>
    <row r="111" spans="2:7" x14ac:dyDescent="0.3">
      <c r="C111" s="11"/>
      <c r="D111" s="11"/>
      <c r="E111" s="11"/>
      <c r="F111" s="11"/>
      <c r="G111" s="11"/>
    </row>
    <row r="112" spans="2:7" x14ac:dyDescent="0.3">
      <c r="C112" s="11"/>
      <c r="D112" s="11"/>
      <c r="E112" s="11"/>
      <c r="F112" s="11"/>
      <c r="G112" s="11"/>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AE639BB4E74542A43DE6E767DBCE18" ma:contentTypeVersion="11" ma:contentTypeDescription="Create a new document." ma:contentTypeScope="" ma:versionID="681f7fff1efaa5d4527fe8ca50b73cf7">
  <xsd:schema xmlns:xsd="http://www.w3.org/2001/XMLSchema" xmlns:xs="http://www.w3.org/2001/XMLSchema" xmlns:p="http://schemas.microsoft.com/office/2006/metadata/properties" xmlns:ns2="2a829cb1-c3bd-48aa-b101-cd51227f80d0" xmlns:ns3="c264fd13-c93d-4e63-9fb0-02334996df4b" targetNamespace="http://schemas.microsoft.com/office/2006/metadata/properties" ma:root="true" ma:fieldsID="e809d16dd66263efebf52ef89ed394f9" ns2:_="" ns3:_="">
    <xsd:import namespace="2a829cb1-c3bd-48aa-b101-cd51227f80d0"/>
    <xsd:import namespace="c264fd13-c93d-4e63-9fb0-02334996df4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829cb1-c3bd-48aa-b101-cd51227f80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267e5f2-3cc9-4b2c-97a9-20aec386c2b0"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64fd13-c93d-4e63-9fb0-02334996df4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da015f8-e9b6-4fc3-9b4e-646117ef80f2}" ma:internalName="TaxCatchAll" ma:showField="CatchAllData" ma:web="c264fd13-c93d-4e63-9fb0-02334996df4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64fd13-c93d-4e63-9fb0-02334996df4b" xsi:nil="true"/>
    <lcf76f155ced4ddcb4097134ff3c332f xmlns="2a829cb1-c3bd-48aa-b101-cd51227f80d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3E5A08-030A-4F06-8779-C09F63188712}"/>
</file>

<file path=customXml/itemProps2.xml><?xml version="1.0" encoding="utf-8"?>
<ds:datastoreItem xmlns:ds="http://schemas.openxmlformats.org/officeDocument/2006/customXml" ds:itemID="{927957C8-135D-4560-8E58-C9374A08960F}"/>
</file>

<file path=customXml/itemProps3.xml><?xml version="1.0" encoding="utf-8"?>
<ds:datastoreItem xmlns:ds="http://schemas.openxmlformats.org/officeDocument/2006/customXml" ds:itemID="{CEC261B4-DF1F-4635-A214-B16516A1B5B6}"/>
</file>

<file path=docMetadata/LabelInfo.xml><?xml version="1.0" encoding="utf-8"?>
<clbl:labelList xmlns:clbl="http://schemas.microsoft.com/office/2020/mipLabelMetadata">
  <clbl:label id="{7b72dd6e-c27c-4639-b124-2b12953460bf}" enabled="0" method="" siteId="{7b72dd6e-c27c-4639-b124-2b12953460b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Cover </vt:lpstr>
      <vt:lpstr>Q1 LO 2a 2b 2c 2d Skwire Ch 25</vt:lpstr>
      <vt:lpstr>A1</vt:lpstr>
      <vt:lpstr>Q3 LO 2b 2c 2d Eaton Ch 10</vt:lpstr>
      <vt:lpstr>A3</vt:lpstr>
      <vt:lpstr>Q4 LO 2b 2c 2d Eaton Ch 9</vt:lpstr>
      <vt:lpstr>A4</vt:lpstr>
      <vt:lpstr>Q7 LO 3a-3g IHI Ch 6</vt:lpstr>
      <vt:lpstr>A7</vt:lpstr>
      <vt:lpstr>Q8 LO 3a 3b Eaton Ch 8</vt:lpstr>
      <vt:lpstr>A8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Douglas Norris</dc:creator>
  <cp:lastModifiedBy>Douglas Norris</cp:lastModifiedBy>
  <dcterms:created xsi:type="dcterms:W3CDTF">2015-06-05T18:17:20Z</dcterms:created>
  <dcterms:modified xsi:type="dcterms:W3CDTF">2025-06-26T14:41:11Z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ecdf243-b9b0-4f63-8694-76742e4201b7_Enabled">
    <vt:lpwstr>true</vt:lpwstr>
  </property>
  <property fmtid="{D5CDD505-2E9C-101B-9397-08002B2CF9AE}" pid="5" name="MSIP_Label_1ecdf243-b9b0-4f63-8694-76742e4201b7_SetDate">
    <vt:lpwstr>2025-05-26T18:37:05Z</vt:lpwstr>
  </property>
  <property fmtid="{D5CDD505-2E9C-101B-9397-08002B2CF9AE}" pid="6" name="MSIP_Label_1ecdf243-b9b0-4f63-8694-76742e4201b7_Method">
    <vt:lpwstr>Standard</vt:lpwstr>
  </property>
  <property fmtid="{D5CDD505-2E9C-101B-9397-08002B2CF9AE}" pid="7" name="MSIP_Label_1ecdf243-b9b0-4f63-8694-76742e4201b7_Name">
    <vt:lpwstr>Proprietary general</vt:lpwstr>
  </property>
  <property fmtid="{D5CDD505-2E9C-101B-9397-08002B2CF9AE}" pid="8" name="MSIP_Label_1ecdf243-b9b0-4f63-8694-76742e4201b7_SiteId">
    <vt:lpwstr>fabb61b8-3afe-4e75-b934-a47f782b8cd7</vt:lpwstr>
  </property>
  <property fmtid="{D5CDD505-2E9C-101B-9397-08002B2CF9AE}" pid="9" name="MSIP_Label_1ecdf243-b9b0-4f63-8694-76742e4201b7_ActionId">
    <vt:lpwstr>9c070a38-e96b-4f2b-81bf-4ecbbee02042</vt:lpwstr>
  </property>
  <property fmtid="{D5CDD505-2E9C-101B-9397-08002B2CF9AE}" pid="10" name="MSIP_Label_1ecdf243-b9b0-4f63-8694-76742e4201b7_ContentBits">
    <vt:lpwstr>0</vt:lpwstr>
  </property>
  <property fmtid="{D5CDD505-2E9C-101B-9397-08002B2CF9AE}" pid="11" name="MSIP_Label_38f1469a-2c2a-4aee-b92b-090d4c5468ff_Enabled">
    <vt:lpwstr>true</vt:lpwstr>
  </property>
  <property fmtid="{D5CDD505-2E9C-101B-9397-08002B2CF9AE}" pid="12" name="MSIP_Label_38f1469a-2c2a-4aee-b92b-090d4c5468ff_SetDate">
    <vt:lpwstr>2025-06-05T20:25:28Z</vt:lpwstr>
  </property>
  <property fmtid="{D5CDD505-2E9C-101B-9397-08002B2CF9AE}" pid="13" name="MSIP_Label_38f1469a-2c2a-4aee-b92b-090d4c5468ff_Method">
    <vt:lpwstr>Standard</vt:lpwstr>
  </property>
  <property fmtid="{D5CDD505-2E9C-101B-9397-08002B2CF9AE}" pid="14" name="MSIP_Label_38f1469a-2c2a-4aee-b92b-090d4c5468ff_Name">
    <vt:lpwstr>Confidential - Unmarked</vt:lpwstr>
  </property>
  <property fmtid="{D5CDD505-2E9C-101B-9397-08002B2CF9AE}" pid="15" name="MSIP_Label_38f1469a-2c2a-4aee-b92b-090d4c5468ff_SiteId">
    <vt:lpwstr>2a6e6092-73e4-4752-b1a5-477a17f5056d</vt:lpwstr>
  </property>
  <property fmtid="{D5CDD505-2E9C-101B-9397-08002B2CF9AE}" pid="16" name="MSIP_Label_38f1469a-2c2a-4aee-b92b-090d4c5468ff_ActionId">
    <vt:lpwstr>bb84cf3f-f959-4005-b404-d26fcab7f1ec</vt:lpwstr>
  </property>
  <property fmtid="{D5CDD505-2E9C-101B-9397-08002B2CF9AE}" pid="17" name="MSIP_Label_38f1469a-2c2a-4aee-b92b-090d4c5468ff_ContentBits">
    <vt:lpwstr>0</vt:lpwstr>
  </property>
  <property fmtid="{D5CDD505-2E9C-101B-9397-08002B2CF9AE}" pid="18" name="MSIP_Label_38f1469a-2c2a-4aee-b92b-090d4c5468ff_Tag">
    <vt:lpwstr>10, 3, 0, 1</vt:lpwstr>
  </property>
  <property fmtid="{D5CDD505-2E9C-101B-9397-08002B2CF9AE}" pid="19" name="ContentTypeId">
    <vt:lpwstr>0x010100F6AE639BB4E74542A43DE6E767DBCE18</vt:lpwstr>
  </property>
</Properties>
</file>