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62" documentId="11_F25DC773A252ABDACC1048E089DE79AE5ADE58ED" xr6:coauthVersionLast="47" xr6:coauthVersionMax="47" xr10:uidLastSave="{262C87F8-11C9-4600-BE2D-2F22726715AC}"/>
  <bookViews>
    <workbookView xWindow="28680" yWindow="-120" windowWidth="38640" windowHeight="21120" xr2:uid="{00000000-000D-0000-FFFF-FFFF00000000}"/>
  </bookViews>
  <sheets>
    <sheet name="Cover " sheetId="88" r:id="rId1"/>
    <sheet name="CP 321 LO 1" sheetId="1" r:id="rId2"/>
    <sheet name="LO1 Q2" sheetId="5" r:id="rId3"/>
    <sheet name="LO1 A2" sheetId="6" r:id="rId4"/>
    <sheet name="CP 321 LO 2" sheetId="2" r:id="rId5"/>
    <sheet name="LO2 Q1" sheetId="7" r:id="rId6"/>
    <sheet name="LO2 A1" sheetId="30" r:id="rId7"/>
    <sheet name="LO2 Q6" sheetId="8" r:id="rId8"/>
    <sheet name="LO2 A6" sheetId="31" r:id="rId9"/>
    <sheet name="LO2 Q8" sheetId="9" r:id="rId10"/>
    <sheet name="LO2 A8" sheetId="32" r:id="rId11"/>
    <sheet name="LO2 Q9" sheetId="10" r:id="rId12"/>
    <sheet name="LO2 A9" sheetId="33" r:id="rId13"/>
    <sheet name="LO2 Q10" sheetId="11" r:id="rId14"/>
    <sheet name="LO2 A10" sheetId="34" r:id="rId15"/>
    <sheet name="LO2 Q11" sheetId="12" r:id="rId16"/>
    <sheet name="LO2 A11" sheetId="35" r:id="rId17"/>
    <sheet name="LO2 Q12" sheetId="13" r:id="rId18"/>
    <sheet name="LO2 A12" sheetId="36" r:id="rId19"/>
    <sheet name="LO2 Q13" sheetId="14" r:id="rId20"/>
    <sheet name="LO2 A13" sheetId="37" r:id="rId21"/>
    <sheet name="LO2 Q14" sheetId="15" r:id="rId22"/>
    <sheet name="LO2 A14" sheetId="38" r:id="rId23"/>
    <sheet name="LO2 Q15" sheetId="16" r:id="rId24"/>
    <sheet name="LO2 A15" sheetId="39" r:id="rId25"/>
    <sheet name="LO2 Q16" sheetId="17" r:id="rId26"/>
    <sheet name="LO2 A16" sheetId="40" r:id="rId27"/>
    <sheet name="LO2 Q17" sheetId="18" r:id="rId28"/>
    <sheet name="LO2 A17" sheetId="41" r:id="rId29"/>
    <sheet name="LO2 Q18" sheetId="19" r:id="rId30"/>
    <sheet name="LO2 A18" sheetId="42" r:id="rId31"/>
    <sheet name="LO2 Q20" sheetId="20" r:id="rId32"/>
    <sheet name="LO2 A20" sheetId="43" r:id="rId33"/>
    <sheet name="LO2 Q21" sheetId="21" r:id="rId34"/>
    <sheet name="LO2 A21" sheetId="44" r:id="rId35"/>
    <sheet name="LO2 Q22" sheetId="22" r:id="rId36"/>
    <sheet name="LO2 A22" sheetId="45" r:id="rId37"/>
    <sheet name="LO2 Q24" sheetId="23" r:id="rId38"/>
    <sheet name="LO2 A24" sheetId="46" r:id="rId39"/>
    <sheet name="LO2 Q25" sheetId="24" r:id="rId40"/>
    <sheet name="LO2 A25" sheetId="47" r:id="rId41"/>
    <sheet name="LO2 Q26" sheetId="25" r:id="rId42"/>
    <sheet name="LO2 A26" sheetId="48" r:id="rId43"/>
    <sheet name="LO2 Q27" sheetId="26" r:id="rId44"/>
    <sheet name="LO2 A27" sheetId="49" r:id="rId45"/>
    <sheet name="LO2 Q28" sheetId="27" r:id="rId46"/>
    <sheet name="LO2 A28" sheetId="50" r:id="rId47"/>
    <sheet name="LO2 Q29" sheetId="28" r:id="rId48"/>
    <sheet name="LO2 A29" sheetId="51" r:id="rId49"/>
    <sheet name="LO2 Q30" sheetId="29" r:id="rId50"/>
    <sheet name="LO2 A30" sheetId="52" r:id="rId51"/>
    <sheet name="CP 321 LO 3" sheetId="3" r:id="rId52"/>
    <sheet name="LO3 Q1" sheetId="53" r:id="rId53"/>
    <sheet name="LO3 A1" sheetId="65" r:id="rId54"/>
    <sheet name="LO3 Q2" sheetId="54" r:id="rId55"/>
    <sheet name="LO3 A2" sheetId="66" r:id="rId56"/>
    <sheet name="LO3 Q4" sheetId="55" r:id="rId57"/>
    <sheet name="LO3 A4" sheetId="67" r:id="rId58"/>
    <sheet name="LO3 Q5" sheetId="56" r:id="rId59"/>
    <sheet name="LO3 A5" sheetId="68" r:id="rId60"/>
    <sheet name="LO3 Q6" sheetId="57" r:id="rId61"/>
    <sheet name="LO3 A6" sheetId="69" r:id="rId62"/>
    <sheet name="LO3 Q7" sheetId="58" r:id="rId63"/>
    <sheet name="LO3 A7" sheetId="70" r:id="rId64"/>
    <sheet name="LO3 Q8" sheetId="59" r:id="rId65"/>
    <sheet name="LO3 A8" sheetId="71" r:id="rId66"/>
    <sheet name="LO3 Q9" sheetId="60" r:id="rId67"/>
    <sheet name="LO3 A9" sheetId="72" r:id="rId68"/>
    <sheet name="LO3 Q10" sheetId="61" r:id="rId69"/>
    <sheet name="LO3 A10" sheetId="73" r:id="rId70"/>
    <sheet name="LO3 Q13" sheetId="62" r:id="rId71"/>
    <sheet name="LO3 A13" sheetId="74" r:id="rId72"/>
    <sheet name="LO3 Q14" sheetId="63" r:id="rId73"/>
    <sheet name="LO3 A14" sheetId="75" r:id="rId74"/>
    <sheet name="LO3 Q15" sheetId="64" r:id="rId75"/>
    <sheet name="LO3 A15" sheetId="76" r:id="rId76"/>
    <sheet name="CP 321 LO 6" sheetId="4" r:id="rId77"/>
    <sheet name="LO6 Q3" sheetId="77" r:id="rId78"/>
    <sheet name="LO6 A3" sheetId="83" r:id="rId79"/>
    <sheet name="LO6 Q4" sheetId="78" r:id="rId80"/>
    <sheet name="LO6 A4" sheetId="84" r:id="rId81"/>
    <sheet name="LO6 Q5" sheetId="79" r:id="rId82"/>
    <sheet name="LO6 A5" sheetId="85" r:id="rId83"/>
    <sheet name="LO6 Q6" sheetId="80" r:id="rId84"/>
    <sheet name="LO6 Q6 Data" sheetId="81" r:id="rId85"/>
    <sheet name="LO6 A6" sheetId="86" r:id="rId86"/>
    <sheet name="LO6 Q7" sheetId="82" r:id="rId87"/>
    <sheet name="LO6 A7" sheetId="87" r:id="rId88"/>
  </sheets>
  <externalReferences>
    <externalReference r:id="rId89"/>
  </externalReferences>
  <definedNames>
    <definedName name="___CPD013" localSheetId="84">#REF!</definedName>
    <definedName name="___CPD013">#REF!</definedName>
    <definedName name="___RX1" localSheetId="84">#REF!</definedName>
    <definedName name="___RX1">#REF!</definedName>
    <definedName name="___RX2" localSheetId="84">#REF!</definedName>
    <definedName name="___RX2">#REF!</definedName>
    <definedName name="___RX3" localSheetId="84">#REF!</definedName>
    <definedName name="___RX3">#REF!</definedName>
    <definedName name="___RX4" localSheetId="84">#REF!</definedName>
    <definedName name="___RX4">#REF!</definedName>
    <definedName name="__123Graph_A" localSheetId="3" hidden="1">#REF!</definedName>
    <definedName name="__123Graph_A" localSheetId="14" hidden="1">#REF!</definedName>
    <definedName name="__123Graph_A" localSheetId="16" hidden="1">#REF!</definedName>
    <definedName name="__123Graph_A" localSheetId="13" hidden="1">#REF!</definedName>
    <definedName name="__123Graph_A" localSheetId="15" hidden="1">#REF!</definedName>
    <definedName name="__123Graph_A" localSheetId="87" hidden="1">#REF!</definedName>
    <definedName name="__123Graph_A" localSheetId="86" hidden="1">#REF!</definedName>
    <definedName name="__123Graph_A" hidden="1">#REF!</definedName>
    <definedName name="__123Graph_AChart1" localSheetId="3" hidden="1">#REF!</definedName>
    <definedName name="__123Graph_AChart1" localSheetId="2" hidden="1">#REF!</definedName>
    <definedName name="__123Graph_AChart1" localSheetId="14" hidden="1">#REF!</definedName>
    <definedName name="__123Graph_AChart1" localSheetId="18" hidden="1">#REF!</definedName>
    <definedName name="__123Graph_AChart1" localSheetId="20" hidden="1">#REF!</definedName>
    <definedName name="__123Graph_AChart1" localSheetId="22" hidden="1">#REF!</definedName>
    <definedName name="__123Graph_AChart1" localSheetId="24" hidden="1">#REF!</definedName>
    <definedName name="__123Graph_AChart1" localSheetId="26" hidden="1">#REF!</definedName>
    <definedName name="__123Graph_AChart1" localSheetId="28" hidden="1">#REF!</definedName>
    <definedName name="__123Graph_AChart1" localSheetId="30" hidden="1">#REF!</definedName>
    <definedName name="__123Graph_AChart1" localSheetId="32" hidden="1">#REF!</definedName>
    <definedName name="__123Graph_AChart1" localSheetId="34" hidden="1">#REF!</definedName>
    <definedName name="__123Graph_AChart1" localSheetId="36" hidden="1">#REF!</definedName>
    <definedName name="__123Graph_AChart1" localSheetId="38" hidden="1">#REF!</definedName>
    <definedName name="__123Graph_AChart1" localSheetId="42" hidden="1">#REF!</definedName>
    <definedName name="__123Graph_AChart1" localSheetId="44" hidden="1">#REF!</definedName>
    <definedName name="__123Graph_AChart1" localSheetId="46" hidden="1">#REF!</definedName>
    <definedName name="__123Graph_AChart1" localSheetId="8" hidden="1">#REF!</definedName>
    <definedName name="__123Graph_AChart1" localSheetId="10" hidden="1">#REF!</definedName>
    <definedName name="__123Graph_AChart1" localSheetId="12" hidden="1">#REF!</definedName>
    <definedName name="__123Graph_AChart1" localSheetId="13" hidden="1">#REF!</definedName>
    <definedName name="__123Graph_AChart1" localSheetId="17" hidden="1">#REF!</definedName>
    <definedName name="__123Graph_AChart1" localSheetId="19" hidden="1">#REF!</definedName>
    <definedName name="__123Graph_AChart1" localSheetId="21" hidden="1">#REF!</definedName>
    <definedName name="__123Graph_AChart1" localSheetId="23" hidden="1">#REF!</definedName>
    <definedName name="__123Graph_AChart1" localSheetId="25" hidden="1">#REF!</definedName>
    <definedName name="__123Graph_AChart1" localSheetId="27" hidden="1">#REF!</definedName>
    <definedName name="__123Graph_AChart1" localSheetId="29" hidden="1">#REF!</definedName>
    <definedName name="__123Graph_AChart1" localSheetId="31" hidden="1">#REF!</definedName>
    <definedName name="__123Graph_AChart1" localSheetId="33" hidden="1">#REF!</definedName>
    <definedName name="__123Graph_AChart1" localSheetId="35" hidden="1">#REF!</definedName>
    <definedName name="__123Graph_AChart1" localSheetId="37" hidden="1">#REF!</definedName>
    <definedName name="__123Graph_AChart1" localSheetId="41" hidden="1">#REF!</definedName>
    <definedName name="__123Graph_AChart1" localSheetId="43" hidden="1">#REF!</definedName>
    <definedName name="__123Graph_AChart1" localSheetId="45" hidden="1">#REF!</definedName>
    <definedName name="__123Graph_AChart1" localSheetId="7" hidden="1">#REF!</definedName>
    <definedName name="__123Graph_AChart1" localSheetId="9" hidden="1">#REF!</definedName>
    <definedName name="__123Graph_AChart1" localSheetId="11" hidden="1">#REF!</definedName>
    <definedName name="__123Graph_AChart1" localSheetId="75" hidden="1">#REF!</definedName>
    <definedName name="__123Graph_AChart1" localSheetId="57" hidden="1">#REF!</definedName>
    <definedName name="__123Graph_AChart1" localSheetId="74" hidden="1">#REF!</definedName>
    <definedName name="__123Graph_AChart1" localSheetId="56" hidden="1">#REF!</definedName>
    <definedName name="__123Graph_AChart1" localSheetId="85" hidden="1">#REF!</definedName>
    <definedName name="__123Graph_AChart1" localSheetId="87" hidden="1">#REF!</definedName>
    <definedName name="__123Graph_AChart1" localSheetId="83" hidden="1">#REF!</definedName>
    <definedName name="__123Graph_AChart1" localSheetId="84" hidden="1">#REF!</definedName>
    <definedName name="__123Graph_AChart1" localSheetId="86" hidden="1">#REF!</definedName>
    <definedName name="__123Graph_AChart1" hidden="1">#REF!</definedName>
    <definedName name="__123Graph_ACurrent" localSheetId="3" hidden="1">#REF!</definedName>
    <definedName name="__123Graph_ACurrent" localSheetId="2" hidden="1">#REF!</definedName>
    <definedName name="__123Graph_ACurrent" localSheetId="14" hidden="1">#REF!</definedName>
    <definedName name="__123Graph_ACurrent" localSheetId="18" hidden="1">#REF!</definedName>
    <definedName name="__123Graph_ACurrent" localSheetId="20" hidden="1">#REF!</definedName>
    <definedName name="__123Graph_ACurrent" localSheetId="22" hidden="1">#REF!</definedName>
    <definedName name="__123Graph_ACurrent" localSheetId="24" hidden="1">#REF!</definedName>
    <definedName name="__123Graph_ACurrent" localSheetId="26" hidden="1">#REF!</definedName>
    <definedName name="__123Graph_ACurrent" localSheetId="28" hidden="1">#REF!</definedName>
    <definedName name="__123Graph_ACurrent" localSheetId="30" hidden="1">#REF!</definedName>
    <definedName name="__123Graph_ACurrent" localSheetId="32" hidden="1">#REF!</definedName>
    <definedName name="__123Graph_ACurrent" localSheetId="34" hidden="1">#REF!</definedName>
    <definedName name="__123Graph_ACurrent" localSheetId="36" hidden="1">#REF!</definedName>
    <definedName name="__123Graph_ACurrent" localSheetId="38" hidden="1">#REF!</definedName>
    <definedName name="__123Graph_ACurrent" localSheetId="42" hidden="1">#REF!</definedName>
    <definedName name="__123Graph_ACurrent" localSheetId="44" hidden="1">#REF!</definedName>
    <definedName name="__123Graph_ACurrent" localSheetId="46" hidden="1">#REF!</definedName>
    <definedName name="__123Graph_ACurrent" localSheetId="8" hidden="1">#REF!</definedName>
    <definedName name="__123Graph_ACurrent" localSheetId="10" hidden="1">#REF!</definedName>
    <definedName name="__123Graph_ACurrent" localSheetId="12" hidden="1">#REF!</definedName>
    <definedName name="__123Graph_ACurrent" localSheetId="13" hidden="1">#REF!</definedName>
    <definedName name="__123Graph_ACurrent" localSheetId="17" hidden="1">#REF!</definedName>
    <definedName name="__123Graph_ACurrent" localSheetId="19" hidden="1">#REF!</definedName>
    <definedName name="__123Graph_ACurrent" localSheetId="21" hidden="1">#REF!</definedName>
    <definedName name="__123Graph_ACurrent" localSheetId="23" hidden="1">#REF!</definedName>
    <definedName name="__123Graph_ACurrent" localSheetId="25" hidden="1">#REF!</definedName>
    <definedName name="__123Graph_ACurrent" localSheetId="27" hidden="1">#REF!</definedName>
    <definedName name="__123Graph_ACurrent" localSheetId="29" hidden="1">#REF!</definedName>
    <definedName name="__123Graph_ACurrent" localSheetId="31" hidden="1">#REF!</definedName>
    <definedName name="__123Graph_ACurrent" localSheetId="33" hidden="1">#REF!</definedName>
    <definedName name="__123Graph_ACurrent" localSheetId="35" hidden="1">#REF!</definedName>
    <definedName name="__123Graph_ACurrent" localSheetId="37" hidden="1">#REF!</definedName>
    <definedName name="__123Graph_ACurrent" localSheetId="41" hidden="1">#REF!</definedName>
    <definedName name="__123Graph_ACurrent" localSheetId="43" hidden="1">#REF!</definedName>
    <definedName name="__123Graph_ACurrent" localSheetId="45" hidden="1">#REF!</definedName>
    <definedName name="__123Graph_ACurrent" localSheetId="7" hidden="1">#REF!</definedName>
    <definedName name="__123Graph_ACurrent" localSheetId="9" hidden="1">#REF!</definedName>
    <definedName name="__123Graph_ACurrent" localSheetId="11" hidden="1">#REF!</definedName>
    <definedName name="__123Graph_ACurrent" localSheetId="75" hidden="1">#REF!</definedName>
    <definedName name="__123Graph_ACurrent" localSheetId="57" hidden="1">#REF!</definedName>
    <definedName name="__123Graph_ACurrent" localSheetId="74" hidden="1">#REF!</definedName>
    <definedName name="__123Graph_ACurrent" localSheetId="56" hidden="1">#REF!</definedName>
    <definedName name="__123Graph_ACurrent" localSheetId="85" hidden="1">#REF!</definedName>
    <definedName name="__123Graph_ACurrent" localSheetId="87" hidden="1">#REF!</definedName>
    <definedName name="__123Graph_ACurrent" localSheetId="83" hidden="1">#REF!</definedName>
    <definedName name="__123Graph_ACurrent" localSheetId="84" hidden="1">#REF!</definedName>
    <definedName name="__123Graph_ACurrent" localSheetId="86" hidden="1">#REF!</definedName>
    <definedName name="__123Graph_ACurrent" hidden="1">#REF!</definedName>
    <definedName name="__123Graph_B" localSheetId="3" hidden="1">#REF!</definedName>
    <definedName name="__123Graph_B" localSheetId="14" hidden="1">#REF!</definedName>
    <definedName name="__123Graph_B" localSheetId="16" hidden="1">#REF!</definedName>
    <definedName name="__123Graph_B" localSheetId="13" hidden="1">#REF!</definedName>
    <definedName name="__123Graph_B" localSheetId="15" hidden="1">#REF!</definedName>
    <definedName name="__123Graph_B" localSheetId="87" hidden="1">#REF!</definedName>
    <definedName name="__123Graph_B" localSheetId="86" hidden="1">#REF!</definedName>
    <definedName name="__123Graph_B" hidden="1">#REF!</definedName>
    <definedName name="__123Graph_BChart1" localSheetId="3" hidden="1">#REF!</definedName>
    <definedName name="__123Graph_BChart1" localSheetId="2" hidden="1">#REF!</definedName>
    <definedName name="__123Graph_BChart1" localSheetId="14" hidden="1">#REF!</definedName>
    <definedName name="__123Graph_BChart1" localSheetId="18" hidden="1">#REF!</definedName>
    <definedName name="__123Graph_BChart1" localSheetId="20" hidden="1">#REF!</definedName>
    <definedName name="__123Graph_BChart1" localSheetId="22" hidden="1">#REF!</definedName>
    <definedName name="__123Graph_BChart1" localSheetId="24" hidden="1">#REF!</definedName>
    <definedName name="__123Graph_BChart1" localSheetId="26" hidden="1">#REF!</definedName>
    <definedName name="__123Graph_BChart1" localSheetId="28" hidden="1">#REF!</definedName>
    <definedName name="__123Graph_BChart1" localSheetId="30" hidden="1">#REF!</definedName>
    <definedName name="__123Graph_BChart1" localSheetId="32" hidden="1">#REF!</definedName>
    <definedName name="__123Graph_BChart1" localSheetId="34" hidden="1">#REF!</definedName>
    <definedName name="__123Graph_BChart1" localSheetId="36" hidden="1">#REF!</definedName>
    <definedName name="__123Graph_BChart1" localSheetId="38" hidden="1">#REF!</definedName>
    <definedName name="__123Graph_BChart1" localSheetId="42" hidden="1">#REF!</definedName>
    <definedName name="__123Graph_BChart1" localSheetId="44" hidden="1">#REF!</definedName>
    <definedName name="__123Graph_BChart1" localSheetId="46" hidden="1">#REF!</definedName>
    <definedName name="__123Graph_BChart1" localSheetId="8" hidden="1">#REF!</definedName>
    <definedName name="__123Graph_BChart1" localSheetId="10" hidden="1">#REF!</definedName>
    <definedName name="__123Graph_BChart1" localSheetId="12" hidden="1">#REF!</definedName>
    <definedName name="__123Graph_BChart1" localSheetId="13" hidden="1">#REF!</definedName>
    <definedName name="__123Graph_BChart1" localSheetId="17" hidden="1">#REF!</definedName>
    <definedName name="__123Graph_BChart1" localSheetId="19" hidden="1">#REF!</definedName>
    <definedName name="__123Graph_BChart1" localSheetId="21" hidden="1">#REF!</definedName>
    <definedName name="__123Graph_BChart1" localSheetId="23" hidden="1">#REF!</definedName>
    <definedName name="__123Graph_BChart1" localSheetId="25" hidden="1">#REF!</definedName>
    <definedName name="__123Graph_BChart1" localSheetId="27" hidden="1">#REF!</definedName>
    <definedName name="__123Graph_BChart1" localSheetId="29" hidden="1">#REF!</definedName>
    <definedName name="__123Graph_BChart1" localSheetId="31" hidden="1">#REF!</definedName>
    <definedName name="__123Graph_BChart1" localSheetId="33" hidden="1">#REF!</definedName>
    <definedName name="__123Graph_BChart1" localSheetId="35" hidden="1">#REF!</definedName>
    <definedName name="__123Graph_BChart1" localSheetId="37" hidden="1">#REF!</definedName>
    <definedName name="__123Graph_BChart1" localSheetId="41" hidden="1">#REF!</definedName>
    <definedName name="__123Graph_BChart1" localSheetId="43" hidden="1">#REF!</definedName>
    <definedName name="__123Graph_BChart1" localSheetId="45" hidden="1">#REF!</definedName>
    <definedName name="__123Graph_BChart1" localSheetId="7" hidden="1">#REF!</definedName>
    <definedName name="__123Graph_BChart1" localSheetId="9" hidden="1">#REF!</definedName>
    <definedName name="__123Graph_BChart1" localSheetId="11" hidden="1">#REF!</definedName>
    <definedName name="__123Graph_BChart1" localSheetId="75" hidden="1">#REF!</definedName>
    <definedName name="__123Graph_BChart1" localSheetId="57" hidden="1">#REF!</definedName>
    <definedName name="__123Graph_BChart1" localSheetId="74" hidden="1">#REF!</definedName>
    <definedName name="__123Graph_BChart1" localSheetId="56" hidden="1">#REF!</definedName>
    <definedName name="__123Graph_BChart1" localSheetId="85" hidden="1">#REF!</definedName>
    <definedName name="__123Graph_BChart1" localSheetId="87" hidden="1">#REF!</definedName>
    <definedName name="__123Graph_BChart1" localSheetId="83" hidden="1">#REF!</definedName>
    <definedName name="__123Graph_BChart1" localSheetId="84" hidden="1">#REF!</definedName>
    <definedName name="__123Graph_BChart1" localSheetId="86" hidden="1">#REF!</definedName>
    <definedName name="__123Graph_BChart1" hidden="1">#REF!</definedName>
    <definedName name="__123Graph_BCurrent" localSheetId="3" hidden="1">#REF!</definedName>
    <definedName name="__123Graph_BCurrent" localSheetId="2" hidden="1">#REF!</definedName>
    <definedName name="__123Graph_BCurrent" localSheetId="14" hidden="1">#REF!</definedName>
    <definedName name="__123Graph_BCurrent" localSheetId="18" hidden="1">#REF!</definedName>
    <definedName name="__123Graph_BCurrent" localSheetId="20" hidden="1">#REF!</definedName>
    <definedName name="__123Graph_BCurrent" localSheetId="22" hidden="1">#REF!</definedName>
    <definedName name="__123Graph_BCurrent" localSheetId="24" hidden="1">#REF!</definedName>
    <definedName name="__123Graph_BCurrent" localSheetId="26" hidden="1">#REF!</definedName>
    <definedName name="__123Graph_BCurrent" localSheetId="28" hidden="1">#REF!</definedName>
    <definedName name="__123Graph_BCurrent" localSheetId="30" hidden="1">#REF!</definedName>
    <definedName name="__123Graph_BCurrent" localSheetId="32" hidden="1">#REF!</definedName>
    <definedName name="__123Graph_BCurrent" localSheetId="34" hidden="1">#REF!</definedName>
    <definedName name="__123Graph_BCurrent" localSheetId="36" hidden="1">#REF!</definedName>
    <definedName name="__123Graph_BCurrent" localSheetId="38" hidden="1">#REF!</definedName>
    <definedName name="__123Graph_BCurrent" localSheetId="42" hidden="1">#REF!</definedName>
    <definedName name="__123Graph_BCurrent" localSheetId="44" hidden="1">#REF!</definedName>
    <definedName name="__123Graph_BCurrent" localSheetId="46" hidden="1">#REF!</definedName>
    <definedName name="__123Graph_BCurrent" localSheetId="8" hidden="1">#REF!</definedName>
    <definedName name="__123Graph_BCurrent" localSheetId="10" hidden="1">#REF!</definedName>
    <definedName name="__123Graph_BCurrent" localSheetId="12" hidden="1">#REF!</definedName>
    <definedName name="__123Graph_BCurrent" localSheetId="13" hidden="1">#REF!</definedName>
    <definedName name="__123Graph_BCurrent" localSheetId="17" hidden="1">#REF!</definedName>
    <definedName name="__123Graph_BCurrent" localSheetId="19" hidden="1">#REF!</definedName>
    <definedName name="__123Graph_BCurrent" localSheetId="21" hidden="1">#REF!</definedName>
    <definedName name="__123Graph_BCurrent" localSheetId="23" hidden="1">#REF!</definedName>
    <definedName name="__123Graph_BCurrent" localSheetId="25" hidden="1">#REF!</definedName>
    <definedName name="__123Graph_BCurrent" localSheetId="27" hidden="1">#REF!</definedName>
    <definedName name="__123Graph_BCurrent" localSheetId="29" hidden="1">#REF!</definedName>
    <definedName name="__123Graph_BCurrent" localSheetId="31" hidden="1">#REF!</definedName>
    <definedName name="__123Graph_BCurrent" localSheetId="33" hidden="1">#REF!</definedName>
    <definedName name="__123Graph_BCurrent" localSheetId="35" hidden="1">#REF!</definedName>
    <definedName name="__123Graph_BCurrent" localSheetId="37" hidden="1">#REF!</definedName>
    <definedName name="__123Graph_BCurrent" localSheetId="41" hidden="1">#REF!</definedName>
    <definedName name="__123Graph_BCurrent" localSheetId="43" hidden="1">#REF!</definedName>
    <definedName name="__123Graph_BCurrent" localSheetId="45" hidden="1">#REF!</definedName>
    <definedName name="__123Graph_BCurrent" localSheetId="7" hidden="1">#REF!</definedName>
    <definedName name="__123Graph_BCurrent" localSheetId="9" hidden="1">#REF!</definedName>
    <definedName name="__123Graph_BCurrent" localSheetId="11" hidden="1">#REF!</definedName>
    <definedName name="__123Graph_BCurrent" localSheetId="75" hidden="1">#REF!</definedName>
    <definedName name="__123Graph_BCurrent" localSheetId="57" hidden="1">#REF!</definedName>
    <definedName name="__123Graph_BCurrent" localSheetId="74" hidden="1">#REF!</definedName>
    <definedName name="__123Graph_BCurrent" localSheetId="56" hidden="1">#REF!</definedName>
    <definedName name="__123Graph_BCurrent" localSheetId="85" hidden="1">#REF!</definedName>
    <definedName name="__123Graph_BCurrent" localSheetId="87" hidden="1">#REF!</definedName>
    <definedName name="__123Graph_BCurrent" localSheetId="83" hidden="1">#REF!</definedName>
    <definedName name="__123Graph_BCurrent" localSheetId="84" hidden="1">#REF!</definedName>
    <definedName name="__123Graph_BCurrent" localSheetId="86" hidden="1">#REF!</definedName>
    <definedName name="__123Graph_BCurrent" hidden="1">#REF!</definedName>
    <definedName name="__123Graph_C" localSheetId="3" hidden="1">#REF!</definedName>
    <definedName name="__123Graph_C" localSheetId="14" hidden="1">#REF!</definedName>
    <definedName name="__123Graph_C" localSheetId="16" hidden="1">#REF!</definedName>
    <definedName name="__123Graph_C" localSheetId="13" hidden="1">#REF!</definedName>
    <definedName name="__123Graph_C" localSheetId="15" hidden="1">#REF!</definedName>
    <definedName name="__123Graph_C" localSheetId="87" hidden="1">#REF!</definedName>
    <definedName name="__123Graph_C" localSheetId="86" hidden="1">#REF!</definedName>
    <definedName name="__123Graph_C" hidden="1">#REF!</definedName>
    <definedName name="__123Graph_CChart1" localSheetId="3" hidden="1">#REF!</definedName>
    <definedName name="__123Graph_CChart1" localSheetId="2" hidden="1">#REF!</definedName>
    <definedName name="__123Graph_CChart1" localSheetId="14" hidden="1">#REF!</definedName>
    <definedName name="__123Graph_CChart1" localSheetId="18" hidden="1">#REF!</definedName>
    <definedName name="__123Graph_CChart1" localSheetId="20" hidden="1">#REF!</definedName>
    <definedName name="__123Graph_CChart1" localSheetId="22" hidden="1">#REF!</definedName>
    <definedName name="__123Graph_CChart1" localSheetId="24" hidden="1">#REF!</definedName>
    <definedName name="__123Graph_CChart1" localSheetId="26" hidden="1">#REF!</definedName>
    <definedName name="__123Graph_CChart1" localSheetId="28" hidden="1">#REF!</definedName>
    <definedName name="__123Graph_CChart1" localSheetId="30" hidden="1">#REF!</definedName>
    <definedName name="__123Graph_CChart1" localSheetId="32" hidden="1">#REF!</definedName>
    <definedName name="__123Graph_CChart1" localSheetId="34" hidden="1">#REF!</definedName>
    <definedName name="__123Graph_CChart1" localSheetId="36" hidden="1">#REF!</definedName>
    <definedName name="__123Graph_CChart1" localSheetId="38" hidden="1">#REF!</definedName>
    <definedName name="__123Graph_CChart1" localSheetId="42" hidden="1">#REF!</definedName>
    <definedName name="__123Graph_CChart1" localSheetId="44" hidden="1">#REF!</definedName>
    <definedName name="__123Graph_CChart1" localSheetId="46" hidden="1">#REF!</definedName>
    <definedName name="__123Graph_CChart1" localSheetId="8" hidden="1">#REF!</definedName>
    <definedName name="__123Graph_CChart1" localSheetId="10" hidden="1">#REF!</definedName>
    <definedName name="__123Graph_CChart1" localSheetId="12" hidden="1">#REF!</definedName>
    <definedName name="__123Graph_CChart1" localSheetId="13" hidden="1">#REF!</definedName>
    <definedName name="__123Graph_CChart1" localSheetId="17" hidden="1">#REF!</definedName>
    <definedName name="__123Graph_CChart1" localSheetId="19" hidden="1">#REF!</definedName>
    <definedName name="__123Graph_CChart1" localSheetId="21" hidden="1">#REF!</definedName>
    <definedName name="__123Graph_CChart1" localSheetId="23" hidden="1">#REF!</definedName>
    <definedName name="__123Graph_CChart1" localSheetId="25" hidden="1">#REF!</definedName>
    <definedName name="__123Graph_CChart1" localSheetId="27" hidden="1">#REF!</definedName>
    <definedName name="__123Graph_CChart1" localSheetId="29" hidden="1">#REF!</definedName>
    <definedName name="__123Graph_CChart1" localSheetId="31" hidden="1">#REF!</definedName>
    <definedName name="__123Graph_CChart1" localSheetId="33" hidden="1">#REF!</definedName>
    <definedName name="__123Graph_CChart1" localSheetId="35" hidden="1">#REF!</definedName>
    <definedName name="__123Graph_CChart1" localSheetId="37" hidden="1">#REF!</definedName>
    <definedName name="__123Graph_CChart1" localSheetId="41" hidden="1">#REF!</definedName>
    <definedName name="__123Graph_CChart1" localSheetId="43" hidden="1">#REF!</definedName>
    <definedName name="__123Graph_CChart1" localSheetId="45" hidden="1">#REF!</definedName>
    <definedName name="__123Graph_CChart1" localSheetId="7" hidden="1">#REF!</definedName>
    <definedName name="__123Graph_CChart1" localSheetId="9" hidden="1">#REF!</definedName>
    <definedName name="__123Graph_CChart1" localSheetId="11" hidden="1">#REF!</definedName>
    <definedName name="__123Graph_CChart1" localSheetId="75" hidden="1">#REF!</definedName>
    <definedName name="__123Graph_CChart1" localSheetId="57" hidden="1">#REF!</definedName>
    <definedName name="__123Graph_CChart1" localSheetId="74" hidden="1">#REF!</definedName>
    <definedName name="__123Graph_CChart1" localSheetId="56" hidden="1">#REF!</definedName>
    <definedName name="__123Graph_CChart1" localSheetId="85" hidden="1">#REF!</definedName>
    <definedName name="__123Graph_CChart1" localSheetId="87" hidden="1">#REF!</definedName>
    <definedName name="__123Graph_CChart1" localSheetId="83" hidden="1">#REF!</definedName>
    <definedName name="__123Graph_CChart1" localSheetId="84" hidden="1">#REF!</definedName>
    <definedName name="__123Graph_CChart1" localSheetId="86" hidden="1">#REF!</definedName>
    <definedName name="__123Graph_CChart1" hidden="1">#REF!</definedName>
    <definedName name="__123Graph_CCurrent" localSheetId="3" hidden="1">#REF!</definedName>
    <definedName name="__123Graph_CCurrent" localSheetId="2" hidden="1">#REF!</definedName>
    <definedName name="__123Graph_CCurrent" localSheetId="14" hidden="1">#REF!</definedName>
    <definedName name="__123Graph_CCurrent" localSheetId="18" hidden="1">#REF!</definedName>
    <definedName name="__123Graph_CCurrent" localSheetId="20" hidden="1">#REF!</definedName>
    <definedName name="__123Graph_CCurrent" localSheetId="22" hidden="1">#REF!</definedName>
    <definedName name="__123Graph_CCurrent" localSheetId="24" hidden="1">#REF!</definedName>
    <definedName name="__123Graph_CCurrent" localSheetId="26" hidden="1">#REF!</definedName>
    <definedName name="__123Graph_CCurrent" localSheetId="28" hidden="1">#REF!</definedName>
    <definedName name="__123Graph_CCurrent" localSheetId="30" hidden="1">#REF!</definedName>
    <definedName name="__123Graph_CCurrent" localSheetId="32" hidden="1">#REF!</definedName>
    <definedName name="__123Graph_CCurrent" localSheetId="34" hidden="1">#REF!</definedName>
    <definedName name="__123Graph_CCurrent" localSheetId="36" hidden="1">#REF!</definedName>
    <definedName name="__123Graph_CCurrent" localSheetId="38" hidden="1">#REF!</definedName>
    <definedName name="__123Graph_CCurrent" localSheetId="42" hidden="1">#REF!</definedName>
    <definedName name="__123Graph_CCurrent" localSheetId="44" hidden="1">#REF!</definedName>
    <definedName name="__123Graph_CCurrent" localSheetId="46" hidden="1">#REF!</definedName>
    <definedName name="__123Graph_CCurrent" localSheetId="8" hidden="1">#REF!</definedName>
    <definedName name="__123Graph_CCurrent" localSheetId="10" hidden="1">#REF!</definedName>
    <definedName name="__123Graph_CCurrent" localSheetId="12" hidden="1">#REF!</definedName>
    <definedName name="__123Graph_CCurrent" localSheetId="13" hidden="1">#REF!</definedName>
    <definedName name="__123Graph_CCurrent" localSheetId="17" hidden="1">#REF!</definedName>
    <definedName name="__123Graph_CCurrent" localSheetId="19" hidden="1">#REF!</definedName>
    <definedName name="__123Graph_CCurrent" localSheetId="21" hidden="1">#REF!</definedName>
    <definedName name="__123Graph_CCurrent" localSheetId="23" hidden="1">#REF!</definedName>
    <definedName name="__123Graph_CCurrent" localSheetId="25" hidden="1">#REF!</definedName>
    <definedName name="__123Graph_CCurrent" localSheetId="27" hidden="1">#REF!</definedName>
    <definedName name="__123Graph_CCurrent" localSheetId="29" hidden="1">#REF!</definedName>
    <definedName name="__123Graph_CCurrent" localSheetId="31" hidden="1">#REF!</definedName>
    <definedName name="__123Graph_CCurrent" localSheetId="33" hidden="1">#REF!</definedName>
    <definedName name="__123Graph_CCurrent" localSheetId="35" hidden="1">#REF!</definedName>
    <definedName name="__123Graph_CCurrent" localSheetId="37" hidden="1">#REF!</definedName>
    <definedName name="__123Graph_CCurrent" localSheetId="41" hidden="1">#REF!</definedName>
    <definedName name="__123Graph_CCurrent" localSheetId="43" hidden="1">#REF!</definedName>
    <definedName name="__123Graph_CCurrent" localSheetId="45" hidden="1">#REF!</definedName>
    <definedName name="__123Graph_CCurrent" localSheetId="7" hidden="1">#REF!</definedName>
    <definedName name="__123Graph_CCurrent" localSheetId="9" hidden="1">#REF!</definedName>
    <definedName name="__123Graph_CCurrent" localSheetId="11" hidden="1">#REF!</definedName>
    <definedName name="__123Graph_CCurrent" localSheetId="75" hidden="1">#REF!</definedName>
    <definedName name="__123Graph_CCurrent" localSheetId="57" hidden="1">#REF!</definedName>
    <definedName name="__123Graph_CCurrent" localSheetId="74" hidden="1">#REF!</definedName>
    <definedName name="__123Graph_CCurrent" localSheetId="56" hidden="1">#REF!</definedName>
    <definedName name="__123Graph_CCurrent" localSheetId="85" hidden="1">#REF!</definedName>
    <definedName name="__123Graph_CCurrent" localSheetId="87" hidden="1">#REF!</definedName>
    <definedName name="__123Graph_CCurrent" localSheetId="83" hidden="1">#REF!</definedName>
    <definedName name="__123Graph_CCurrent" localSheetId="84" hidden="1">#REF!</definedName>
    <definedName name="__123Graph_CCurrent" localSheetId="86" hidden="1">#REF!</definedName>
    <definedName name="__123Graph_CCurrent" hidden="1">#REF!</definedName>
    <definedName name="__123Graph_D" localSheetId="3" hidden="1">#REF!</definedName>
    <definedName name="__123Graph_D" localSheetId="14" hidden="1">#REF!</definedName>
    <definedName name="__123Graph_D" localSheetId="16" hidden="1">#REF!</definedName>
    <definedName name="__123Graph_D" localSheetId="13" hidden="1">#REF!</definedName>
    <definedName name="__123Graph_D" localSheetId="15" hidden="1">#REF!</definedName>
    <definedName name="__123Graph_D" localSheetId="87" hidden="1">#REF!</definedName>
    <definedName name="__123Graph_D" localSheetId="86" hidden="1">#REF!</definedName>
    <definedName name="__123Graph_D" hidden="1">#REF!</definedName>
    <definedName name="__123Graph_DChart1" localSheetId="3" hidden="1">#REF!</definedName>
    <definedName name="__123Graph_DChart1" localSheetId="2" hidden="1">#REF!</definedName>
    <definedName name="__123Graph_DChart1" localSheetId="14" hidden="1">#REF!</definedName>
    <definedName name="__123Graph_DChart1" localSheetId="18" hidden="1">#REF!</definedName>
    <definedName name="__123Graph_DChart1" localSheetId="20" hidden="1">#REF!</definedName>
    <definedName name="__123Graph_DChart1" localSheetId="22" hidden="1">#REF!</definedName>
    <definedName name="__123Graph_DChart1" localSheetId="24" hidden="1">#REF!</definedName>
    <definedName name="__123Graph_DChart1" localSheetId="26" hidden="1">#REF!</definedName>
    <definedName name="__123Graph_DChart1" localSheetId="28" hidden="1">#REF!</definedName>
    <definedName name="__123Graph_DChart1" localSheetId="30" hidden="1">#REF!</definedName>
    <definedName name="__123Graph_DChart1" localSheetId="32" hidden="1">#REF!</definedName>
    <definedName name="__123Graph_DChart1" localSheetId="34" hidden="1">#REF!</definedName>
    <definedName name="__123Graph_DChart1" localSheetId="36" hidden="1">#REF!</definedName>
    <definedName name="__123Graph_DChart1" localSheetId="38" hidden="1">#REF!</definedName>
    <definedName name="__123Graph_DChart1" localSheetId="42" hidden="1">#REF!</definedName>
    <definedName name="__123Graph_DChart1" localSheetId="44" hidden="1">#REF!</definedName>
    <definedName name="__123Graph_DChart1" localSheetId="46" hidden="1">#REF!</definedName>
    <definedName name="__123Graph_DChart1" localSheetId="8" hidden="1">#REF!</definedName>
    <definedName name="__123Graph_DChart1" localSheetId="10" hidden="1">#REF!</definedName>
    <definedName name="__123Graph_DChart1" localSheetId="12" hidden="1">#REF!</definedName>
    <definedName name="__123Graph_DChart1" localSheetId="13" hidden="1">#REF!</definedName>
    <definedName name="__123Graph_DChart1" localSheetId="17" hidden="1">#REF!</definedName>
    <definedName name="__123Graph_DChart1" localSheetId="19" hidden="1">#REF!</definedName>
    <definedName name="__123Graph_DChart1" localSheetId="21" hidden="1">#REF!</definedName>
    <definedName name="__123Graph_DChart1" localSheetId="23" hidden="1">#REF!</definedName>
    <definedName name="__123Graph_DChart1" localSheetId="25" hidden="1">#REF!</definedName>
    <definedName name="__123Graph_DChart1" localSheetId="27" hidden="1">#REF!</definedName>
    <definedName name="__123Graph_DChart1" localSheetId="29" hidden="1">#REF!</definedName>
    <definedName name="__123Graph_DChart1" localSheetId="31" hidden="1">#REF!</definedName>
    <definedName name="__123Graph_DChart1" localSheetId="33" hidden="1">#REF!</definedName>
    <definedName name="__123Graph_DChart1" localSheetId="35" hidden="1">#REF!</definedName>
    <definedName name="__123Graph_DChart1" localSheetId="37" hidden="1">#REF!</definedName>
    <definedName name="__123Graph_DChart1" localSheetId="41" hidden="1">#REF!</definedName>
    <definedName name="__123Graph_DChart1" localSheetId="43" hidden="1">#REF!</definedName>
    <definedName name="__123Graph_DChart1" localSheetId="45" hidden="1">#REF!</definedName>
    <definedName name="__123Graph_DChart1" localSheetId="7" hidden="1">#REF!</definedName>
    <definedName name="__123Graph_DChart1" localSheetId="9" hidden="1">#REF!</definedName>
    <definedName name="__123Graph_DChart1" localSheetId="11" hidden="1">#REF!</definedName>
    <definedName name="__123Graph_DChart1" localSheetId="75" hidden="1">#REF!</definedName>
    <definedName name="__123Graph_DChart1" localSheetId="57" hidden="1">#REF!</definedName>
    <definedName name="__123Graph_DChart1" localSheetId="74" hidden="1">#REF!</definedName>
    <definedName name="__123Graph_DChart1" localSheetId="56" hidden="1">#REF!</definedName>
    <definedName name="__123Graph_DChart1" localSheetId="85" hidden="1">#REF!</definedName>
    <definedName name="__123Graph_DChart1" localSheetId="87" hidden="1">#REF!</definedName>
    <definedName name="__123Graph_DChart1" localSheetId="83" hidden="1">#REF!</definedName>
    <definedName name="__123Graph_DChart1" localSheetId="84" hidden="1">#REF!</definedName>
    <definedName name="__123Graph_DChart1" localSheetId="86" hidden="1">#REF!</definedName>
    <definedName name="__123Graph_DChart1" hidden="1">#REF!</definedName>
    <definedName name="__123Graph_DCurrent" localSheetId="3" hidden="1">#REF!</definedName>
    <definedName name="__123Graph_DCurrent" localSheetId="2" hidden="1">#REF!</definedName>
    <definedName name="__123Graph_DCurrent" localSheetId="14" hidden="1">#REF!</definedName>
    <definedName name="__123Graph_DCurrent" localSheetId="18" hidden="1">#REF!</definedName>
    <definedName name="__123Graph_DCurrent" localSheetId="20" hidden="1">#REF!</definedName>
    <definedName name="__123Graph_DCurrent" localSheetId="22" hidden="1">#REF!</definedName>
    <definedName name="__123Graph_DCurrent" localSheetId="24" hidden="1">#REF!</definedName>
    <definedName name="__123Graph_DCurrent" localSheetId="26" hidden="1">#REF!</definedName>
    <definedName name="__123Graph_DCurrent" localSheetId="28" hidden="1">#REF!</definedName>
    <definedName name="__123Graph_DCurrent" localSheetId="30" hidden="1">#REF!</definedName>
    <definedName name="__123Graph_DCurrent" localSheetId="32" hidden="1">#REF!</definedName>
    <definedName name="__123Graph_DCurrent" localSheetId="34" hidden="1">#REF!</definedName>
    <definedName name="__123Graph_DCurrent" localSheetId="36" hidden="1">#REF!</definedName>
    <definedName name="__123Graph_DCurrent" localSheetId="38" hidden="1">#REF!</definedName>
    <definedName name="__123Graph_DCurrent" localSheetId="42" hidden="1">#REF!</definedName>
    <definedName name="__123Graph_DCurrent" localSheetId="44" hidden="1">#REF!</definedName>
    <definedName name="__123Graph_DCurrent" localSheetId="46" hidden="1">#REF!</definedName>
    <definedName name="__123Graph_DCurrent" localSheetId="8" hidden="1">#REF!</definedName>
    <definedName name="__123Graph_DCurrent" localSheetId="10" hidden="1">#REF!</definedName>
    <definedName name="__123Graph_DCurrent" localSheetId="12" hidden="1">#REF!</definedName>
    <definedName name="__123Graph_DCurrent" localSheetId="13" hidden="1">#REF!</definedName>
    <definedName name="__123Graph_DCurrent" localSheetId="17" hidden="1">#REF!</definedName>
    <definedName name="__123Graph_DCurrent" localSheetId="19" hidden="1">#REF!</definedName>
    <definedName name="__123Graph_DCurrent" localSheetId="21" hidden="1">#REF!</definedName>
    <definedName name="__123Graph_DCurrent" localSheetId="23" hidden="1">#REF!</definedName>
    <definedName name="__123Graph_DCurrent" localSheetId="25" hidden="1">#REF!</definedName>
    <definedName name="__123Graph_DCurrent" localSheetId="27" hidden="1">#REF!</definedName>
    <definedName name="__123Graph_DCurrent" localSheetId="29" hidden="1">#REF!</definedName>
    <definedName name="__123Graph_DCurrent" localSheetId="31" hidden="1">#REF!</definedName>
    <definedName name="__123Graph_DCurrent" localSheetId="33" hidden="1">#REF!</definedName>
    <definedName name="__123Graph_DCurrent" localSheetId="35" hidden="1">#REF!</definedName>
    <definedName name="__123Graph_DCurrent" localSheetId="37" hidden="1">#REF!</definedName>
    <definedName name="__123Graph_DCurrent" localSheetId="41" hidden="1">#REF!</definedName>
    <definedName name="__123Graph_DCurrent" localSheetId="43" hidden="1">#REF!</definedName>
    <definedName name="__123Graph_DCurrent" localSheetId="45" hidden="1">#REF!</definedName>
    <definedName name="__123Graph_DCurrent" localSheetId="7" hidden="1">#REF!</definedName>
    <definedName name="__123Graph_DCurrent" localSheetId="9" hidden="1">#REF!</definedName>
    <definedName name="__123Graph_DCurrent" localSheetId="11" hidden="1">#REF!</definedName>
    <definedName name="__123Graph_DCurrent" localSheetId="75" hidden="1">#REF!</definedName>
    <definedName name="__123Graph_DCurrent" localSheetId="57" hidden="1">#REF!</definedName>
    <definedName name="__123Graph_DCurrent" localSheetId="74" hidden="1">#REF!</definedName>
    <definedName name="__123Graph_DCurrent" localSheetId="56" hidden="1">#REF!</definedName>
    <definedName name="__123Graph_DCurrent" localSheetId="85" hidden="1">#REF!</definedName>
    <definedName name="__123Graph_DCurrent" localSheetId="87" hidden="1">#REF!</definedName>
    <definedName name="__123Graph_DCurrent" localSheetId="83" hidden="1">#REF!</definedName>
    <definedName name="__123Graph_DCurrent" localSheetId="84" hidden="1">#REF!</definedName>
    <definedName name="__123Graph_DCurrent" localSheetId="86" hidden="1">#REF!</definedName>
    <definedName name="__123Graph_DCurrent" hidden="1">#REF!</definedName>
    <definedName name="__123Graph_E" localSheetId="3" hidden="1">#REF!</definedName>
    <definedName name="__123Graph_E" localSheetId="14" hidden="1">#REF!</definedName>
    <definedName name="__123Graph_E" localSheetId="16" hidden="1">#REF!</definedName>
    <definedName name="__123Graph_E" localSheetId="13" hidden="1">#REF!</definedName>
    <definedName name="__123Graph_E" localSheetId="15" hidden="1">#REF!</definedName>
    <definedName name="__123Graph_E" localSheetId="87" hidden="1">#REF!</definedName>
    <definedName name="__123Graph_E" localSheetId="86" hidden="1">#REF!</definedName>
    <definedName name="__123Graph_E" hidden="1">#REF!</definedName>
    <definedName name="__123Graph_EChart1" localSheetId="3" hidden="1">#REF!</definedName>
    <definedName name="__123Graph_EChart1" localSheetId="2" hidden="1">#REF!</definedName>
    <definedName name="__123Graph_EChart1" localSheetId="14" hidden="1">#REF!</definedName>
    <definedName name="__123Graph_EChart1" localSheetId="18" hidden="1">#REF!</definedName>
    <definedName name="__123Graph_EChart1" localSheetId="20" hidden="1">#REF!</definedName>
    <definedName name="__123Graph_EChart1" localSheetId="22" hidden="1">#REF!</definedName>
    <definedName name="__123Graph_EChart1" localSheetId="24" hidden="1">#REF!</definedName>
    <definedName name="__123Graph_EChart1" localSheetId="26" hidden="1">#REF!</definedName>
    <definedName name="__123Graph_EChart1" localSheetId="28" hidden="1">#REF!</definedName>
    <definedName name="__123Graph_EChart1" localSheetId="30" hidden="1">#REF!</definedName>
    <definedName name="__123Graph_EChart1" localSheetId="32" hidden="1">#REF!</definedName>
    <definedName name="__123Graph_EChart1" localSheetId="34" hidden="1">#REF!</definedName>
    <definedName name="__123Graph_EChart1" localSheetId="36" hidden="1">#REF!</definedName>
    <definedName name="__123Graph_EChart1" localSheetId="38" hidden="1">#REF!</definedName>
    <definedName name="__123Graph_EChart1" localSheetId="42" hidden="1">#REF!</definedName>
    <definedName name="__123Graph_EChart1" localSheetId="44" hidden="1">#REF!</definedName>
    <definedName name="__123Graph_EChart1" localSheetId="46" hidden="1">#REF!</definedName>
    <definedName name="__123Graph_EChart1" localSheetId="8" hidden="1">#REF!</definedName>
    <definedName name="__123Graph_EChart1" localSheetId="10" hidden="1">#REF!</definedName>
    <definedName name="__123Graph_EChart1" localSheetId="12" hidden="1">#REF!</definedName>
    <definedName name="__123Graph_EChart1" localSheetId="13" hidden="1">#REF!</definedName>
    <definedName name="__123Graph_EChart1" localSheetId="17" hidden="1">#REF!</definedName>
    <definedName name="__123Graph_EChart1" localSheetId="19" hidden="1">#REF!</definedName>
    <definedName name="__123Graph_EChart1" localSheetId="21" hidden="1">#REF!</definedName>
    <definedName name="__123Graph_EChart1" localSheetId="23" hidden="1">#REF!</definedName>
    <definedName name="__123Graph_EChart1" localSheetId="25" hidden="1">#REF!</definedName>
    <definedName name="__123Graph_EChart1" localSheetId="27" hidden="1">#REF!</definedName>
    <definedName name="__123Graph_EChart1" localSheetId="29" hidden="1">#REF!</definedName>
    <definedName name="__123Graph_EChart1" localSheetId="31" hidden="1">#REF!</definedName>
    <definedName name="__123Graph_EChart1" localSheetId="33" hidden="1">#REF!</definedName>
    <definedName name="__123Graph_EChart1" localSheetId="35" hidden="1">#REF!</definedName>
    <definedName name="__123Graph_EChart1" localSheetId="37" hidden="1">#REF!</definedName>
    <definedName name="__123Graph_EChart1" localSheetId="41" hidden="1">#REF!</definedName>
    <definedName name="__123Graph_EChart1" localSheetId="43" hidden="1">#REF!</definedName>
    <definedName name="__123Graph_EChart1" localSheetId="45" hidden="1">#REF!</definedName>
    <definedName name="__123Graph_EChart1" localSheetId="7" hidden="1">#REF!</definedName>
    <definedName name="__123Graph_EChart1" localSheetId="9" hidden="1">#REF!</definedName>
    <definedName name="__123Graph_EChart1" localSheetId="11" hidden="1">#REF!</definedName>
    <definedName name="__123Graph_EChart1" localSheetId="75" hidden="1">#REF!</definedName>
    <definedName name="__123Graph_EChart1" localSheetId="57" hidden="1">#REF!</definedName>
    <definedName name="__123Graph_EChart1" localSheetId="74" hidden="1">#REF!</definedName>
    <definedName name="__123Graph_EChart1" localSheetId="56" hidden="1">#REF!</definedName>
    <definedName name="__123Graph_EChart1" localSheetId="85" hidden="1">#REF!</definedName>
    <definedName name="__123Graph_EChart1" localSheetId="87" hidden="1">#REF!</definedName>
    <definedName name="__123Graph_EChart1" localSheetId="83" hidden="1">#REF!</definedName>
    <definedName name="__123Graph_EChart1" localSheetId="84" hidden="1">#REF!</definedName>
    <definedName name="__123Graph_EChart1" localSheetId="86" hidden="1">#REF!</definedName>
    <definedName name="__123Graph_EChart1" hidden="1">#REF!</definedName>
    <definedName name="__123Graph_ECurrent" localSheetId="3" hidden="1">#REF!</definedName>
    <definedName name="__123Graph_ECurrent" localSheetId="2" hidden="1">#REF!</definedName>
    <definedName name="__123Graph_ECurrent" localSheetId="14" hidden="1">#REF!</definedName>
    <definedName name="__123Graph_ECurrent" localSheetId="18" hidden="1">#REF!</definedName>
    <definedName name="__123Graph_ECurrent" localSheetId="20" hidden="1">#REF!</definedName>
    <definedName name="__123Graph_ECurrent" localSheetId="22" hidden="1">#REF!</definedName>
    <definedName name="__123Graph_ECurrent" localSheetId="24" hidden="1">#REF!</definedName>
    <definedName name="__123Graph_ECurrent" localSheetId="26" hidden="1">#REF!</definedName>
    <definedName name="__123Graph_ECurrent" localSheetId="28" hidden="1">#REF!</definedName>
    <definedName name="__123Graph_ECurrent" localSheetId="30" hidden="1">#REF!</definedName>
    <definedName name="__123Graph_ECurrent" localSheetId="32" hidden="1">#REF!</definedName>
    <definedName name="__123Graph_ECurrent" localSheetId="34" hidden="1">#REF!</definedName>
    <definedName name="__123Graph_ECurrent" localSheetId="36" hidden="1">#REF!</definedName>
    <definedName name="__123Graph_ECurrent" localSheetId="38" hidden="1">#REF!</definedName>
    <definedName name="__123Graph_ECurrent" localSheetId="42" hidden="1">#REF!</definedName>
    <definedName name="__123Graph_ECurrent" localSheetId="44" hidden="1">#REF!</definedName>
    <definedName name="__123Graph_ECurrent" localSheetId="46" hidden="1">#REF!</definedName>
    <definedName name="__123Graph_ECurrent" localSheetId="8" hidden="1">#REF!</definedName>
    <definedName name="__123Graph_ECurrent" localSheetId="10" hidden="1">#REF!</definedName>
    <definedName name="__123Graph_ECurrent" localSheetId="12" hidden="1">#REF!</definedName>
    <definedName name="__123Graph_ECurrent" localSheetId="13" hidden="1">#REF!</definedName>
    <definedName name="__123Graph_ECurrent" localSheetId="17" hidden="1">#REF!</definedName>
    <definedName name="__123Graph_ECurrent" localSheetId="19" hidden="1">#REF!</definedName>
    <definedName name="__123Graph_ECurrent" localSheetId="21" hidden="1">#REF!</definedName>
    <definedName name="__123Graph_ECurrent" localSheetId="23" hidden="1">#REF!</definedName>
    <definedName name="__123Graph_ECurrent" localSheetId="25" hidden="1">#REF!</definedName>
    <definedName name="__123Graph_ECurrent" localSheetId="27" hidden="1">#REF!</definedName>
    <definedName name="__123Graph_ECurrent" localSheetId="29" hidden="1">#REF!</definedName>
    <definedName name="__123Graph_ECurrent" localSheetId="31" hidden="1">#REF!</definedName>
    <definedName name="__123Graph_ECurrent" localSheetId="33" hidden="1">#REF!</definedName>
    <definedName name="__123Graph_ECurrent" localSheetId="35" hidden="1">#REF!</definedName>
    <definedName name="__123Graph_ECurrent" localSheetId="37" hidden="1">#REF!</definedName>
    <definedName name="__123Graph_ECurrent" localSheetId="41" hidden="1">#REF!</definedName>
    <definedName name="__123Graph_ECurrent" localSheetId="43" hidden="1">#REF!</definedName>
    <definedName name="__123Graph_ECurrent" localSheetId="45" hidden="1">#REF!</definedName>
    <definedName name="__123Graph_ECurrent" localSheetId="7" hidden="1">#REF!</definedName>
    <definedName name="__123Graph_ECurrent" localSheetId="9" hidden="1">#REF!</definedName>
    <definedName name="__123Graph_ECurrent" localSheetId="11" hidden="1">#REF!</definedName>
    <definedName name="__123Graph_ECurrent" localSheetId="75" hidden="1">#REF!</definedName>
    <definedName name="__123Graph_ECurrent" localSheetId="57" hidden="1">#REF!</definedName>
    <definedName name="__123Graph_ECurrent" localSheetId="74" hidden="1">#REF!</definedName>
    <definedName name="__123Graph_ECurrent" localSheetId="56" hidden="1">#REF!</definedName>
    <definedName name="__123Graph_ECurrent" localSheetId="85" hidden="1">#REF!</definedName>
    <definedName name="__123Graph_ECurrent" localSheetId="87" hidden="1">#REF!</definedName>
    <definedName name="__123Graph_ECurrent" localSheetId="83" hidden="1">#REF!</definedName>
    <definedName name="__123Graph_ECurrent" localSheetId="84" hidden="1">#REF!</definedName>
    <definedName name="__123Graph_ECurrent" localSheetId="86" hidden="1">#REF!</definedName>
    <definedName name="__123Graph_ECurrent" hidden="1">#REF!</definedName>
    <definedName name="__123Graph_F" localSheetId="3" hidden="1">#REF!</definedName>
    <definedName name="__123Graph_F" localSheetId="14" hidden="1">#REF!</definedName>
    <definedName name="__123Graph_F" localSheetId="16" hidden="1">#REF!</definedName>
    <definedName name="__123Graph_F" localSheetId="13" hidden="1">#REF!</definedName>
    <definedName name="__123Graph_F" localSheetId="15" hidden="1">#REF!</definedName>
    <definedName name="__123Graph_F" localSheetId="87" hidden="1">#REF!</definedName>
    <definedName name="__123Graph_F" localSheetId="86" hidden="1">#REF!</definedName>
    <definedName name="__123Graph_F" hidden="1">#REF!</definedName>
    <definedName name="__123Graph_FChart1" localSheetId="3" hidden="1">#REF!</definedName>
    <definedName name="__123Graph_FChart1" localSheetId="2" hidden="1">#REF!</definedName>
    <definedName name="__123Graph_FChart1" localSheetId="14" hidden="1">#REF!</definedName>
    <definedName name="__123Graph_FChart1" localSheetId="18" hidden="1">#REF!</definedName>
    <definedName name="__123Graph_FChart1" localSheetId="20" hidden="1">#REF!</definedName>
    <definedName name="__123Graph_FChart1" localSheetId="22" hidden="1">#REF!</definedName>
    <definedName name="__123Graph_FChart1" localSheetId="24" hidden="1">#REF!</definedName>
    <definedName name="__123Graph_FChart1" localSheetId="26" hidden="1">#REF!</definedName>
    <definedName name="__123Graph_FChart1" localSheetId="28" hidden="1">#REF!</definedName>
    <definedName name="__123Graph_FChart1" localSheetId="30" hidden="1">#REF!</definedName>
    <definedName name="__123Graph_FChart1" localSheetId="32" hidden="1">#REF!</definedName>
    <definedName name="__123Graph_FChart1" localSheetId="34" hidden="1">#REF!</definedName>
    <definedName name="__123Graph_FChart1" localSheetId="36" hidden="1">#REF!</definedName>
    <definedName name="__123Graph_FChart1" localSheetId="38" hidden="1">#REF!</definedName>
    <definedName name="__123Graph_FChart1" localSheetId="42" hidden="1">#REF!</definedName>
    <definedName name="__123Graph_FChart1" localSheetId="44" hidden="1">#REF!</definedName>
    <definedName name="__123Graph_FChart1" localSheetId="46" hidden="1">#REF!</definedName>
    <definedName name="__123Graph_FChart1" localSheetId="8" hidden="1">#REF!</definedName>
    <definedName name="__123Graph_FChart1" localSheetId="10" hidden="1">#REF!</definedName>
    <definedName name="__123Graph_FChart1" localSheetId="12" hidden="1">#REF!</definedName>
    <definedName name="__123Graph_FChart1" localSheetId="13" hidden="1">#REF!</definedName>
    <definedName name="__123Graph_FChart1" localSheetId="17" hidden="1">#REF!</definedName>
    <definedName name="__123Graph_FChart1" localSheetId="19" hidden="1">#REF!</definedName>
    <definedName name="__123Graph_FChart1" localSheetId="21" hidden="1">#REF!</definedName>
    <definedName name="__123Graph_FChart1" localSheetId="23" hidden="1">#REF!</definedName>
    <definedName name="__123Graph_FChart1" localSheetId="25" hidden="1">#REF!</definedName>
    <definedName name="__123Graph_FChart1" localSheetId="27" hidden="1">#REF!</definedName>
    <definedName name="__123Graph_FChart1" localSheetId="29" hidden="1">#REF!</definedName>
    <definedName name="__123Graph_FChart1" localSheetId="31" hidden="1">#REF!</definedName>
    <definedName name="__123Graph_FChart1" localSheetId="33" hidden="1">#REF!</definedName>
    <definedName name="__123Graph_FChart1" localSheetId="35" hidden="1">#REF!</definedName>
    <definedName name="__123Graph_FChart1" localSheetId="37" hidden="1">#REF!</definedName>
    <definedName name="__123Graph_FChart1" localSheetId="41" hidden="1">#REF!</definedName>
    <definedName name="__123Graph_FChart1" localSheetId="43" hidden="1">#REF!</definedName>
    <definedName name="__123Graph_FChart1" localSheetId="45" hidden="1">#REF!</definedName>
    <definedName name="__123Graph_FChart1" localSheetId="7" hidden="1">#REF!</definedName>
    <definedName name="__123Graph_FChart1" localSheetId="9" hidden="1">#REF!</definedName>
    <definedName name="__123Graph_FChart1" localSheetId="11" hidden="1">#REF!</definedName>
    <definedName name="__123Graph_FChart1" localSheetId="75" hidden="1">#REF!</definedName>
    <definedName name="__123Graph_FChart1" localSheetId="57" hidden="1">#REF!</definedName>
    <definedName name="__123Graph_FChart1" localSheetId="74" hidden="1">#REF!</definedName>
    <definedName name="__123Graph_FChart1" localSheetId="56" hidden="1">#REF!</definedName>
    <definedName name="__123Graph_FChart1" localSheetId="85" hidden="1">#REF!</definedName>
    <definedName name="__123Graph_FChart1" localSheetId="87" hidden="1">#REF!</definedName>
    <definedName name="__123Graph_FChart1" localSheetId="83" hidden="1">#REF!</definedName>
    <definedName name="__123Graph_FChart1" localSheetId="84" hidden="1">#REF!</definedName>
    <definedName name="__123Graph_FChart1" localSheetId="86" hidden="1">#REF!</definedName>
    <definedName name="__123Graph_FChart1" hidden="1">#REF!</definedName>
    <definedName name="__123Graph_FCurrent" localSheetId="3" hidden="1">#REF!</definedName>
    <definedName name="__123Graph_FCurrent" localSheetId="2" hidden="1">#REF!</definedName>
    <definedName name="__123Graph_FCurrent" localSheetId="14" hidden="1">#REF!</definedName>
    <definedName name="__123Graph_FCurrent" localSheetId="18" hidden="1">#REF!</definedName>
    <definedName name="__123Graph_FCurrent" localSheetId="20" hidden="1">#REF!</definedName>
    <definedName name="__123Graph_FCurrent" localSheetId="22" hidden="1">#REF!</definedName>
    <definedName name="__123Graph_FCurrent" localSheetId="24" hidden="1">#REF!</definedName>
    <definedName name="__123Graph_FCurrent" localSheetId="26" hidden="1">#REF!</definedName>
    <definedName name="__123Graph_FCurrent" localSheetId="28" hidden="1">#REF!</definedName>
    <definedName name="__123Graph_FCurrent" localSheetId="30" hidden="1">#REF!</definedName>
    <definedName name="__123Graph_FCurrent" localSheetId="32" hidden="1">#REF!</definedName>
    <definedName name="__123Graph_FCurrent" localSheetId="34" hidden="1">#REF!</definedName>
    <definedName name="__123Graph_FCurrent" localSheetId="36" hidden="1">#REF!</definedName>
    <definedName name="__123Graph_FCurrent" localSheetId="38" hidden="1">#REF!</definedName>
    <definedName name="__123Graph_FCurrent" localSheetId="42" hidden="1">#REF!</definedName>
    <definedName name="__123Graph_FCurrent" localSheetId="44" hidden="1">#REF!</definedName>
    <definedName name="__123Graph_FCurrent" localSheetId="46" hidden="1">#REF!</definedName>
    <definedName name="__123Graph_FCurrent" localSheetId="8" hidden="1">#REF!</definedName>
    <definedName name="__123Graph_FCurrent" localSheetId="10" hidden="1">#REF!</definedName>
    <definedName name="__123Graph_FCurrent" localSheetId="12" hidden="1">#REF!</definedName>
    <definedName name="__123Graph_FCurrent" localSheetId="13" hidden="1">#REF!</definedName>
    <definedName name="__123Graph_FCurrent" localSheetId="17" hidden="1">#REF!</definedName>
    <definedName name="__123Graph_FCurrent" localSheetId="19" hidden="1">#REF!</definedName>
    <definedName name="__123Graph_FCurrent" localSheetId="21" hidden="1">#REF!</definedName>
    <definedName name="__123Graph_FCurrent" localSheetId="23" hidden="1">#REF!</definedName>
    <definedName name="__123Graph_FCurrent" localSheetId="25" hidden="1">#REF!</definedName>
    <definedName name="__123Graph_FCurrent" localSheetId="27" hidden="1">#REF!</definedName>
    <definedName name="__123Graph_FCurrent" localSheetId="29" hidden="1">#REF!</definedName>
    <definedName name="__123Graph_FCurrent" localSheetId="31" hidden="1">#REF!</definedName>
    <definedName name="__123Graph_FCurrent" localSheetId="33" hidden="1">#REF!</definedName>
    <definedName name="__123Graph_FCurrent" localSheetId="35" hidden="1">#REF!</definedName>
    <definedName name="__123Graph_FCurrent" localSheetId="37" hidden="1">#REF!</definedName>
    <definedName name="__123Graph_FCurrent" localSheetId="41" hidden="1">#REF!</definedName>
    <definedName name="__123Graph_FCurrent" localSheetId="43" hidden="1">#REF!</definedName>
    <definedName name="__123Graph_FCurrent" localSheetId="45" hidden="1">#REF!</definedName>
    <definedName name="__123Graph_FCurrent" localSheetId="7" hidden="1">#REF!</definedName>
    <definedName name="__123Graph_FCurrent" localSheetId="9" hidden="1">#REF!</definedName>
    <definedName name="__123Graph_FCurrent" localSheetId="11" hidden="1">#REF!</definedName>
    <definedName name="__123Graph_FCurrent" localSheetId="75" hidden="1">#REF!</definedName>
    <definedName name="__123Graph_FCurrent" localSheetId="57" hidden="1">#REF!</definedName>
    <definedName name="__123Graph_FCurrent" localSheetId="74" hidden="1">#REF!</definedName>
    <definedName name="__123Graph_FCurrent" localSheetId="56" hidden="1">#REF!</definedName>
    <definedName name="__123Graph_FCurrent" localSheetId="85" hidden="1">#REF!</definedName>
    <definedName name="__123Graph_FCurrent" localSheetId="87" hidden="1">#REF!</definedName>
    <definedName name="__123Graph_FCurrent" localSheetId="83" hidden="1">#REF!</definedName>
    <definedName name="__123Graph_FCurrent" localSheetId="84" hidden="1">#REF!</definedName>
    <definedName name="__123Graph_FCurrent" localSheetId="86" hidden="1">#REF!</definedName>
    <definedName name="__123Graph_FCurrent" hidden="1">#REF!</definedName>
    <definedName name="__123Graph_X" localSheetId="3" hidden="1">#REF!</definedName>
    <definedName name="__123Graph_X" localSheetId="14" hidden="1">#REF!</definedName>
    <definedName name="__123Graph_X" localSheetId="16" hidden="1">#REF!</definedName>
    <definedName name="__123Graph_X" localSheetId="13" hidden="1">#REF!</definedName>
    <definedName name="__123Graph_X" localSheetId="15" hidden="1">#REF!</definedName>
    <definedName name="__123Graph_X" localSheetId="87" hidden="1">#REF!</definedName>
    <definedName name="__123Graph_X" localSheetId="86" hidden="1">#REF!</definedName>
    <definedName name="__123Graph_X" hidden="1">#REF!</definedName>
    <definedName name="__CPD012" localSheetId="84">#REF!</definedName>
    <definedName name="__CPD012">#REF!</definedName>
    <definedName name="__CPD013" localSheetId="84">#REF!</definedName>
    <definedName name="__CPD013">#REF!</definedName>
    <definedName name="__PGF1" localSheetId="84">#REF!</definedName>
    <definedName name="__PGF1">#REF!</definedName>
    <definedName name="__PGF2">#REF!</definedName>
    <definedName name="__PGG1" localSheetId="84">#REF!</definedName>
    <definedName name="__PGG1">#REF!</definedName>
    <definedName name="__PGG2" localSheetId="84">#REF!</definedName>
    <definedName name="__PGG2">#REF!</definedName>
    <definedName name="__PGJ1" localSheetId="84">#REF!</definedName>
    <definedName name="__PGJ1">#REF!</definedName>
    <definedName name="__RX1" localSheetId="84">#REF!</definedName>
    <definedName name="__RX1">#REF!</definedName>
    <definedName name="__RX2" localSheetId="84">#REF!</definedName>
    <definedName name="__RX2">#REF!</definedName>
    <definedName name="__RX3" localSheetId="84">#REF!</definedName>
    <definedName name="__RX3">#REF!</definedName>
    <definedName name="__RX4" localSheetId="84">#REF!</definedName>
    <definedName name="__RX4">#REF!</definedName>
    <definedName name="__SUM1" localSheetId="84">#REF!</definedName>
    <definedName name="__SUM1">#REF!</definedName>
    <definedName name="_0_MemberList1" localSheetId="84">#REF!</definedName>
    <definedName name="_0_MemberList1">#REF!</definedName>
    <definedName name="_0_MemberList2" localSheetId="84">#REF!</definedName>
    <definedName name="_0_MemberList2">#REF!</definedName>
    <definedName name="_1_0_MemberList1" localSheetId="84">#REF!</definedName>
    <definedName name="_1_0_MemberList1">#REF!</definedName>
    <definedName name="_1_99" localSheetId="84">#REF!</definedName>
    <definedName name="_1_99">#REF!</definedName>
    <definedName name="_11_1_1998" localSheetId="84">#REF!</definedName>
    <definedName name="_11_1_1998">#REF!</definedName>
    <definedName name="_16_LOB_RATINGS" localSheetId="84">#REF!</definedName>
    <definedName name="_16_LOB_RATINGS">#REF!</definedName>
    <definedName name="_2_0_MemberList2" localSheetId="84">#REF!</definedName>
    <definedName name="_2_0_MemberList2">#REF!</definedName>
    <definedName name="_3ULT_TERM_RATES" localSheetId="84">#REF!</definedName>
    <definedName name="_3ULT_TERM_RATES">#REF!</definedName>
    <definedName name="_4ULT_TERM_RATES">#REF!</definedName>
    <definedName name="_C1A" localSheetId="84">#REF!</definedName>
    <definedName name="_C1A">#REF!</definedName>
    <definedName name="_C4B2">#REF!</definedName>
    <definedName name="_CPD012" localSheetId="84">#REF!</definedName>
    <definedName name="_CPD012">#REF!</definedName>
    <definedName name="_CPD013" localSheetId="84">#REF!</definedName>
    <definedName name="_CPD013">#REF!</definedName>
    <definedName name="_CS1" localSheetId="84">#REF!</definedName>
    <definedName name="_CS1">#REF!</definedName>
    <definedName name="_CS2" localSheetId="84">#REF!</definedName>
    <definedName name="_CS2">#REF!</definedName>
    <definedName name="_EI3" localSheetId="84">#REF!</definedName>
    <definedName name="_EI3">#REF!</definedName>
    <definedName name="_xlnm._FilterDatabase" localSheetId="84">#REF!</definedName>
    <definedName name="_xlnm._FilterDatabase">#REF!</definedName>
    <definedName name="_Key1" localSheetId="3" hidden="1">#REF!</definedName>
    <definedName name="_Key1" localSheetId="14" hidden="1">#REF!</definedName>
    <definedName name="_Key1" localSheetId="16" hidden="1">#REF!</definedName>
    <definedName name="_Key1" localSheetId="13" hidden="1">#REF!</definedName>
    <definedName name="_Key1" localSheetId="15" hidden="1">#REF!</definedName>
    <definedName name="_Key1" localSheetId="87" hidden="1">#REF!</definedName>
    <definedName name="_Key1" localSheetId="86" hidden="1">#REF!</definedName>
    <definedName name="_Key1" hidden="1">#REF!</definedName>
    <definedName name="_new1">#REF!</definedName>
    <definedName name="_Order1" hidden="1">255</definedName>
    <definedName name="_Order2" hidden="1">255</definedName>
    <definedName name="_P1" localSheetId="84">#REF!</definedName>
    <definedName name="_P1">#REF!</definedName>
    <definedName name="_PGF1" localSheetId="84">#REF!</definedName>
    <definedName name="_PGF1">#REF!</definedName>
    <definedName name="_PGF2" localSheetId="84">#REF!</definedName>
    <definedName name="_PGF2">#REF!</definedName>
    <definedName name="_PGG1" localSheetId="84">#REF!</definedName>
    <definedName name="_PGG1">#REF!</definedName>
    <definedName name="_PGG2" localSheetId="84">#REF!</definedName>
    <definedName name="_PGG2">#REF!</definedName>
    <definedName name="_PGJ1" localSheetId="84">#REF!</definedName>
    <definedName name="_PGJ1">#REF!</definedName>
    <definedName name="_RX1" localSheetId="84">#REF!</definedName>
    <definedName name="_RX1">#REF!</definedName>
    <definedName name="_RX2" localSheetId="84">#REF!</definedName>
    <definedName name="_RX2">#REF!</definedName>
    <definedName name="_RX3" localSheetId="84">#REF!</definedName>
    <definedName name="_RX3">#REF!</definedName>
    <definedName name="_RX4" localSheetId="84">#REF!</definedName>
    <definedName name="_RX4">#REF!</definedName>
    <definedName name="_Sort" localSheetId="3" hidden="1">#REF!</definedName>
    <definedName name="_Sort" localSheetId="14" hidden="1">#REF!</definedName>
    <definedName name="_Sort" localSheetId="16" hidden="1">#REF!</definedName>
    <definedName name="_Sort" localSheetId="13" hidden="1">#REF!</definedName>
    <definedName name="_Sort" localSheetId="15" hidden="1">#REF!</definedName>
    <definedName name="_Sort" localSheetId="87" hidden="1">#REF!</definedName>
    <definedName name="_Sort" localSheetId="86" hidden="1">#REF!</definedName>
    <definedName name="_Sort" hidden="1">#REF!</definedName>
    <definedName name="_SUM1" localSheetId="84">#REF!</definedName>
    <definedName name="_SUM1">#REF!</definedName>
    <definedName name="_Table1_Out" localSheetId="3" hidden="1">#REF!</definedName>
    <definedName name="_Table1_Out" localSheetId="14" hidden="1">#REF!</definedName>
    <definedName name="_Table1_Out" localSheetId="16" hidden="1">#REF!</definedName>
    <definedName name="_Table1_Out" localSheetId="13" hidden="1">#REF!</definedName>
    <definedName name="_Table1_Out" localSheetId="15" hidden="1">#REF!</definedName>
    <definedName name="_Table1_Out" localSheetId="87" hidden="1">#REF!</definedName>
    <definedName name="_Table1_Out" localSheetId="86" hidden="1">#REF!</definedName>
    <definedName name="_Table1_Out" hidden="1">#REF!</definedName>
    <definedName name="a" localSheetId="84">#REF!</definedName>
    <definedName name="a">#REF!</definedName>
    <definedName name="A1A" localSheetId="84">#REF!</definedName>
    <definedName name="A1A">#REF!</definedName>
    <definedName name="A4B2">#REF!</definedName>
    <definedName name="aaa" localSheetId="84">#REF!</definedName>
    <definedName name="aaa">#REF!</definedName>
    <definedName name="acct_size" localSheetId="84">#REF!</definedName>
    <definedName name="acct_size">#REF!</definedName>
    <definedName name="acctlisdt" localSheetId="84">#REF!</definedName>
    <definedName name="acctlisdt">#REF!</definedName>
    <definedName name="acctlist" localSheetId="84">#REF!</definedName>
    <definedName name="acctlist">#REF!</definedName>
    <definedName name="acctlistn" localSheetId="84">#REF!</definedName>
    <definedName name="acctlistn">#REF!</definedName>
    <definedName name="acctlistx" localSheetId="84">#REF!</definedName>
    <definedName name="acctlistx">#REF!</definedName>
    <definedName name="Actual_Calendar_Figures">#N/A</definedName>
    <definedName name="Actual_Fiscal_Figures">#N/A</definedName>
    <definedName name="Actual_Member_Months_ASO" localSheetId="84">#REF!</definedName>
    <definedName name="Actual_Member_Months_ASO">#REF!</definedName>
    <definedName name="Actual_Member_Months_Risk" localSheetId="84">#REF!</definedName>
    <definedName name="Actual_Member_Months_Risk">#REF!</definedName>
    <definedName name="ActuarialAssumptionSAS" localSheetId="84">#REF!</definedName>
    <definedName name="ActuarialAssumptionSAS">#REF!</definedName>
    <definedName name="Adj" localSheetId="84">#REF!</definedName>
    <definedName name="Adj">#REF!</definedName>
    <definedName name="AdjustmentPMPMs">#REF!</definedName>
    <definedName name="AdjustWellcare" localSheetId="84">#REF!</definedName>
    <definedName name="AdjustWellcare">#REF!</definedName>
    <definedName name="AGESEX" localSheetId="84">#REF!</definedName>
    <definedName name="AGESEX">#REF!</definedName>
    <definedName name="AGSXFLAG" localSheetId="84">#REF!</definedName>
    <definedName name="AGSXFLAG">#REF!</definedName>
    <definedName name="ALEX" localSheetId="84">#REF!</definedName>
    <definedName name="ALEX">#REF!</definedName>
    <definedName name="All_Other" localSheetId="84">#REF!</definedName>
    <definedName name="All_Other">#REF!</definedName>
    <definedName name="ALL_premmatrix" localSheetId="84">#REF!</definedName>
    <definedName name="ALL_premmatrix">#REF!</definedName>
    <definedName name="All_Procedure_Codes" localSheetId="84">#REF!</definedName>
    <definedName name="All_Procedure_Codes">#REF!</definedName>
    <definedName name="ALL_SUMMARY" localSheetId="84">#REF!</definedName>
    <definedName name="ALL_SUMMARY">#REF!</definedName>
    <definedName name="Allocations">#REF!</definedName>
    <definedName name="AllocSheets" localSheetId="84">#REF!</definedName>
    <definedName name="AllocSheets">#REF!</definedName>
    <definedName name="AllwdPMPM">#REF!</definedName>
    <definedName name="AnnDate">#REF!</definedName>
    <definedName name="aPLagPrint_Buttons" localSheetId="75">Paid #REF!</definedName>
    <definedName name="aPLagPrint_Buttons" localSheetId="57">Paid #REF!</definedName>
    <definedName name="aPLagPrint_Buttons" localSheetId="74">Paid #REF!</definedName>
    <definedName name="aPLagPrint_Buttons" localSheetId="56">Paid #REF!</definedName>
    <definedName name="aPLagPrint_Buttons" localSheetId="84">Paid #REF!</definedName>
    <definedName name="aPLagPrint_Buttons">Paid #REF!</definedName>
    <definedName name="aRLagPrint_Buttons" localSheetId="75">Receipt #REF!</definedName>
    <definedName name="aRLagPrint_Buttons" localSheetId="57">Receipt #REF!</definedName>
    <definedName name="aRLagPrint_Buttons" localSheetId="74">Receipt #REF!</definedName>
    <definedName name="aRLagPrint_Buttons" localSheetId="56">Receipt #REF!</definedName>
    <definedName name="aRLagPrint_Buttons" localSheetId="84">Receipt #REF!</definedName>
    <definedName name="aRLagPrint_Buttons">Receipt #REF!</definedName>
    <definedName name="asd" localSheetId="3" hidden="1">#REF!</definedName>
    <definedName name="asd" localSheetId="2" hidden="1">#REF!</definedName>
    <definedName name="asd" localSheetId="14" hidden="1">#REF!</definedName>
    <definedName name="asd" localSheetId="18" hidden="1">#REF!</definedName>
    <definedName name="asd" localSheetId="20" hidden="1">#REF!</definedName>
    <definedName name="asd" localSheetId="22" hidden="1">#REF!</definedName>
    <definedName name="asd" localSheetId="24" hidden="1">#REF!</definedName>
    <definedName name="asd" localSheetId="26" hidden="1">#REF!</definedName>
    <definedName name="asd" localSheetId="28" hidden="1">#REF!</definedName>
    <definedName name="asd" localSheetId="30" hidden="1">#REF!</definedName>
    <definedName name="asd" localSheetId="32" hidden="1">#REF!</definedName>
    <definedName name="asd" localSheetId="34" hidden="1">#REF!</definedName>
    <definedName name="asd" localSheetId="36" hidden="1">#REF!</definedName>
    <definedName name="asd" localSheetId="38" hidden="1">#REF!</definedName>
    <definedName name="asd" localSheetId="42" hidden="1">#REF!</definedName>
    <definedName name="asd" localSheetId="44" hidden="1">#REF!</definedName>
    <definedName name="asd" localSheetId="46" hidden="1">#REF!</definedName>
    <definedName name="asd" localSheetId="8" hidden="1">#REF!</definedName>
    <definedName name="asd" localSheetId="10" hidden="1">#REF!</definedName>
    <definedName name="asd" localSheetId="12" hidden="1">#REF!</definedName>
    <definedName name="asd" localSheetId="13" hidden="1">#REF!</definedName>
    <definedName name="asd" localSheetId="17" hidden="1">#REF!</definedName>
    <definedName name="asd" localSheetId="19" hidden="1">#REF!</definedName>
    <definedName name="asd" localSheetId="21" hidden="1">#REF!</definedName>
    <definedName name="asd" localSheetId="23" hidden="1">#REF!</definedName>
    <definedName name="asd" localSheetId="25" hidden="1">#REF!</definedName>
    <definedName name="asd" localSheetId="27" hidden="1">#REF!</definedName>
    <definedName name="asd" localSheetId="29" hidden="1">#REF!</definedName>
    <definedName name="asd" localSheetId="31" hidden="1">#REF!</definedName>
    <definedName name="asd" localSheetId="33" hidden="1">#REF!</definedName>
    <definedName name="asd" localSheetId="35" hidden="1">#REF!</definedName>
    <definedName name="asd" localSheetId="37" hidden="1">#REF!</definedName>
    <definedName name="asd" localSheetId="41" hidden="1">#REF!</definedName>
    <definedName name="asd" localSheetId="43" hidden="1">#REF!</definedName>
    <definedName name="asd" localSheetId="45" hidden="1">#REF!</definedName>
    <definedName name="asd" localSheetId="7" hidden="1">#REF!</definedName>
    <definedName name="asd" localSheetId="9" hidden="1">#REF!</definedName>
    <definedName name="asd" localSheetId="11" hidden="1">#REF!</definedName>
    <definedName name="asd" localSheetId="75" hidden="1">#REF!</definedName>
    <definedName name="asd" localSheetId="57" hidden="1">#REF!</definedName>
    <definedName name="asd" localSheetId="74" hidden="1">#REF!</definedName>
    <definedName name="asd" localSheetId="56" hidden="1">#REF!</definedName>
    <definedName name="asd" localSheetId="85" hidden="1">#REF!</definedName>
    <definedName name="asd" localSheetId="87" hidden="1">#REF!</definedName>
    <definedName name="asd" localSheetId="83" hidden="1">#REF!</definedName>
    <definedName name="asd" localSheetId="84" hidden="1">#REF!</definedName>
    <definedName name="asd" localSheetId="86" hidden="1">#REF!</definedName>
    <definedName name="asd" hidden="1">#REF!</definedName>
    <definedName name="asda" localSheetId="3" hidden="1">#REF!</definedName>
    <definedName name="asda" localSheetId="2" hidden="1">#REF!</definedName>
    <definedName name="asda" localSheetId="14" hidden="1">#REF!</definedName>
    <definedName name="asda" localSheetId="18" hidden="1">#REF!</definedName>
    <definedName name="asda" localSheetId="20" hidden="1">#REF!</definedName>
    <definedName name="asda" localSheetId="22" hidden="1">#REF!</definedName>
    <definedName name="asda" localSheetId="24" hidden="1">#REF!</definedName>
    <definedName name="asda" localSheetId="26" hidden="1">#REF!</definedName>
    <definedName name="asda" localSheetId="28" hidden="1">#REF!</definedName>
    <definedName name="asda" localSheetId="30" hidden="1">#REF!</definedName>
    <definedName name="asda" localSheetId="32" hidden="1">#REF!</definedName>
    <definedName name="asda" localSheetId="34" hidden="1">#REF!</definedName>
    <definedName name="asda" localSheetId="36" hidden="1">#REF!</definedName>
    <definedName name="asda" localSheetId="38" hidden="1">#REF!</definedName>
    <definedName name="asda" localSheetId="42" hidden="1">#REF!</definedName>
    <definedName name="asda" localSheetId="44" hidden="1">#REF!</definedName>
    <definedName name="asda" localSheetId="46" hidden="1">#REF!</definedName>
    <definedName name="asda" localSheetId="8" hidden="1">#REF!</definedName>
    <definedName name="asda" localSheetId="10" hidden="1">#REF!</definedName>
    <definedName name="asda" localSheetId="12" hidden="1">#REF!</definedName>
    <definedName name="asda" localSheetId="13" hidden="1">#REF!</definedName>
    <definedName name="asda" localSheetId="17" hidden="1">#REF!</definedName>
    <definedName name="asda" localSheetId="19" hidden="1">#REF!</definedName>
    <definedName name="asda" localSheetId="21" hidden="1">#REF!</definedName>
    <definedName name="asda" localSheetId="23" hidden="1">#REF!</definedName>
    <definedName name="asda" localSheetId="25" hidden="1">#REF!</definedName>
    <definedName name="asda" localSheetId="27" hidden="1">#REF!</definedName>
    <definedName name="asda" localSheetId="29" hidden="1">#REF!</definedName>
    <definedName name="asda" localSheetId="31" hidden="1">#REF!</definedName>
    <definedName name="asda" localSheetId="33" hidden="1">#REF!</definedName>
    <definedName name="asda" localSheetId="35" hidden="1">#REF!</definedName>
    <definedName name="asda" localSheetId="37" hidden="1">#REF!</definedName>
    <definedName name="asda" localSheetId="41" hidden="1">#REF!</definedName>
    <definedName name="asda" localSheetId="43" hidden="1">#REF!</definedName>
    <definedName name="asda" localSheetId="45" hidden="1">#REF!</definedName>
    <definedName name="asda" localSheetId="7" hidden="1">#REF!</definedName>
    <definedName name="asda" localSheetId="9" hidden="1">#REF!</definedName>
    <definedName name="asda" localSheetId="11" hidden="1">#REF!</definedName>
    <definedName name="asda" localSheetId="75" hidden="1">#REF!</definedName>
    <definedName name="asda" localSheetId="57" hidden="1">#REF!</definedName>
    <definedName name="asda" localSheetId="74" hidden="1">#REF!</definedName>
    <definedName name="asda" localSheetId="56" hidden="1">#REF!</definedName>
    <definedName name="asda" localSheetId="85" hidden="1">#REF!</definedName>
    <definedName name="asda" localSheetId="87" hidden="1">#REF!</definedName>
    <definedName name="asda" localSheetId="83" hidden="1">#REF!</definedName>
    <definedName name="asda" localSheetId="84" hidden="1">#REF!</definedName>
    <definedName name="asda" localSheetId="86" hidden="1">#REF!</definedName>
    <definedName name="asda" hidden="1">#REF!</definedName>
    <definedName name="asdad" localSheetId="84">#REF!</definedName>
    <definedName name="asdad">#REF!</definedName>
    <definedName name="asdasd" localSheetId="84">#REF!</definedName>
    <definedName name="asdasd">#REF!</definedName>
    <definedName name="asdf" localSheetId="84">#REF!</definedName>
    <definedName name="asdf">#REF!</definedName>
    <definedName name="asdgf" localSheetId="84">#REF!</definedName>
    <definedName name="asdgf">#REF!</definedName>
    <definedName name="ASO" localSheetId="84">#REF!</definedName>
    <definedName name="ASO">#REF!</definedName>
    <definedName name="AssociationAdj">#REF!</definedName>
    <definedName name="Assumed_LR" localSheetId="84">#REF!</definedName>
    <definedName name="Assumed_LR">#REF!</definedName>
    <definedName name="ATRIUS_ALL" localSheetId="84">#REF!</definedName>
    <definedName name="ATRIUS_ALL">#REF!</definedName>
    <definedName name="AtriusMembers">#REF!</definedName>
    <definedName name="autoExcelStatus" localSheetId="84">#REF!</definedName>
    <definedName name="autoExcelStatus">#REF!</definedName>
    <definedName name="AverageFees" localSheetId="84">#REF!</definedName>
    <definedName name="AverageFees">#REF!</definedName>
    <definedName name="avg_copay" localSheetId="84">#REF!</definedName>
    <definedName name="avg_copay">#REF!</definedName>
    <definedName name="avg_copay1" localSheetId="84">#REF!</definedName>
    <definedName name="avg_copay1">#REF!</definedName>
    <definedName name="avg_copay2" localSheetId="84">#REF!</definedName>
    <definedName name="avg_copay2">#REF!</definedName>
    <definedName name="BAND1_00009" localSheetId="84">#REF!</definedName>
    <definedName name="BAND1_00009">#REF!</definedName>
    <definedName name="BAND2_00024" localSheetId="84">#REF!</definedName>
    <definedName name="BAND2_00024">#REF!</definedName>
    <definedName name="BAND3_00099" localSheetId="84">#REF!</definedName>
    <definedName name="BAND3_00099">#REF!</definedName>
    <definedName name="BAND4_00999" localSheetId="84">#REF!</definedName>
    <definedName name="BAND4_00999">#REF!</definedName>
    <definedName name="BAND5_99999" localSheetId="84">#REF!</definedName>
    <definedName name="BAND5_99999">#REF!</definedName>
    <definedName name="BAND7_MCARE" localSheetId="84">#REF!</definedName>
    <definedName name="BAND7_MCARE">#REF!</definedName>
    <definedName name="BAND8_NGRP" localSheetId="84">#REF!</definedName>
    <definedName name="BAND8_NGRP">#REF!</definedName>
    <definedName name="base_Year" localSheetId="84">#REF!</definedName>
    <definedName name="base_Year">#REF!</definedName>
    <definedName name="BaseCapMMS">#REF!</definedName>
    <definedName name="BaseIPClaims">#REF!</definedName>
    <definedName name="BaseNonCapMMS">#REF!</definedName>
    <definedName name="BaseOPClaims">#REF!</definedName>
    <definedName name="BaseOVClaims">#REF!</definedName>
    <definedName name="BaseRxClaims">#REF!</definedName>
    <definedName name="BaseYear" localSheetId="84">#REF!</definedName>
    <definedName name="BaseYear">#REF!</definedName>
    <definedName name="BenDropDownList" localSheetId="84">#REF!</definedName>
    <definedName name="BenDropDownList">#REF!</definedName>
    <definedName name="BestBuyOOP" localSheetId="84">#REF!</definedName>
    <definedName name="BestBuyOOP">#REF!</definedName>
    <definedName name="BLDGLIB" localSheetId="84">#REF!</definedName>
    <definedName name="BLDGLIB">#REF!</definedName>
    <definedName name="BlendedCost" localSheetId="84">#REF!</definedName>
    <definedName name="BlendedCost">#REF!</definedName>
    <definedName name="BOC">#REF!</definedName>
    <definedName name="BOC_RX_MATCH" localSheetId="84">#REF!</definedName>
    <definedName name="BOC_RX_MATCH">#REF!</definedName>
    <definedName name="BOCFACTORS" localSheetId="84">#REF!</definedName>
    <definedName name="BOCFACTORS">#REF!</definedName>
    <definedName name="BOCList" localSheetId="84">#REF!</definedName>
    <definedName name="BOCList">#REF!</definedName>
    <definedName name="BOCProd1" localSheetId="84">#REF!</definedName>
    <definedName name="BOCProd1">#REF!</definedName>
    <definedName name="BOCProd2" localSheetId="84">#REF!</definedName>
    <definedName name="BOCProd2">#REF!</definedName>
    <definedName name="BOCProd3" localSheetId="84">#REF!</definedName>
    <definedName name="BOCProd3">#REF!</definedName>
    <definedName name="BOCProd4" localSheetId="84">#REF!</definedName>
    <definedName name="BOCProd4">#REF!</definedName>
    <definedName name="BTCat" localSheetId="84">#REF!</definedName>
    <definedName name="BTCat">#REF!</definedName>
    <definedName name="BTLApplied">#REF!</definedName>
    <definedName name="BTLClaimsPMPM" localSheetId="84">#REF!</definedName>
    <definedName name="BTLClaimsPMPM">#REF!</definedName>
    <definedName name="Budget_Member_Months_ASO" localSheetId="84">#REF!</definedName>
    <definedName name="Budget_Member_Months_ASO">#REF!</definedName>
    <definedName name="Budget_Member_Months_Risk" localSheetId="84">#REF!</definedName>
    <definedName name="Budget_Member_Months_Risk">#REF!</definedName>
    <definedName name="BudgetAdjustments">#REF!</definedName>
    <definedName name="BudgetBTLClaims">#REF!</definedName>
    <definedName name="BudgetClaims">#REF!</definedName>
    <definedName name="BudgetPMPMs">#REF!</definedName>
    <definedName name="BudgetPremInc">#REF!</definedName>
    <definedName name="BudgetYear">#REF!</definedName>
    <definedName name="BudgetYearCapMMS">#REF!</definedName>
    <definedName name="BudgetYearIPClaims">#REF!</definedName>
    <definedName name="BudgetYearNonCapMMS">#REF!</definedName>
    <definedName name="BudgetYearOPClaims">#REF!</definedName>
    <definedName name="BudgetYearOVClaims">#REF!</definedName>
    <definedName name="BudgetYearRxClaims">#REF!</definedName>
    <definedName name="BuzzWeb_Benefit_Policy_Type" localSheetId="84">#REF!</definedName>
    <definedName name="BuzzWeb_Benefit_Policy_Type">#REF!</definedName>
    <definedName name="BuzzWeb_BOC_ID" localSheetId="84">#REF!</definedName>
    <definedName name="BuzzWeb_BOC_ID">#REF!</definedName>
    <definedName name="BuzzWeb_BOC_ID_FMHP" localSheetId="84">#REF!</definedName>
    <definedName name="BuzzWeb_BOC_ID_FMHP">#REF!</definedName>
    <definedName name="BuzzWeb_Config_BP_Types">#REF!</definedName>
    <definedName name="BuzzWeb_Config_Four_Tier_Rx_Brochures">#REF!</definedName>
    <definedName name="BuzzWeb_Config_Four_Tier_Rx_Brochures_Filename">#REF!</definedName>
    <definedName name="BuzzWeb_Config_Handbooks_FI">#REF!</definedName>
    <definedName name="BuzzWeb_Config_Handbooks_FI_Filename">#REF!</definedName>
    <definedName name="BuzzWeb_Config_Handbooks_SI">#REF!</definedName>
    <definedName name="BuzzWeb_Config_Handbooks_SI_Filename">#REF!</definedName>
    <definedName name="BuzzWeb_Config_PCGs">#REF!</definedName>
    <definedName name="BuzzWeb_Config_PCGs_Filename">#REF!</definedName>
    <definedName name="BuzzWeb_Config_Rx_Brochures">#REF!</definedName>
    <definedName name="BuzzWeb_Config_Rx_Brochures_Filename">#REF!</definedName>
    <definedName name="BuzzWeb_Configuration" localSheetId="84">#REF!</definedName>
    <definedName name="BuzzWeb_Configuration">#REF!</definedName>
    <definedName name="BuzzWeb_Four_Tier_Rx_Brochure_Filename" localSheetId="84">#REF!</definedName>
    <definedName name="BuzzWeb_Four_Tier_Rx_Brochure_Filename">#REF!</definedName>
    <definedName name="BuzzWeb_Four_Tier_Rx_Brochure_Title" localSheetId="84">#REF!</definedName>
    <definedName name="BuzzWeb_Four_Tier_Rx_Brochure_Title">#REF!</definedName>
    <definedName name="BuzzWeb_Handbook_Fully_Insured_Filename" localSheetId="84">#REF!</definedName>
    <definedName name="BuzzWeb_Handbook_Fully_Insured_Filename">#REF!</definedName>
    <definedName name="BuzzWeb_Handbook_Fully_Insured_Title" localSheetId="84">#REF!</definedName>
    <definedName name="BuzzWeb_Handbook_Fully_Insured_Title">#REF!</definedName>
    <definedName name="BuzzWeb_Handbook_Self_Insured_Filename" localSheetId="84">#REF!</definedName>
    <definedName name="BuzzWeb_Handbook_Self_Insured_Filename">#REF!</definedName>
    <definedName name="BuzzWeb_Handbook_Self_Insured_Title" localSheetId="84">#REF!</definedName>
    <definedName name="BuzzWeb_Handbook_Self_Insured_Title">#REF!</definedName>
    <definedName name="BuzzWeb_Plan_ID" localSheetId="84">#REF!</definedName>
    <definedName name="BuzzWeb_Plan_ID">#REF!</definedName>
    <definedName name="BuzzWeb_Plan_ID_FMHP" localSheetId="84">#REF!</definedName>
    <definedName name="BuzzWeb_Plan_ID_FMHP">#REF!</definedName>
    <definedName name="BuzzWeb_Product" localSheetId="84">#REF!</definedName>
    <definedName name="BuzzWeb_Product">#REF!</definedName>
    <definedName name="BuzzWeb_Product_Compliance_Guide_Filename" localSheetId="84">#REF!</definedName>
    <definedName name="BuzzWeb_Product_Compliance_Guide_Filename">#REF!</definedName>
    <definedName name="BuzzWeb_Product_Compliance_Guide_Title" localSheetId="84">#REF!</definedName>
    <definedName name="BuzzWeb_Product_Compliance_Guide_Title">#REF!</definedName>
    <definedName name="BuzzWeb_Rx_Brochure_Filename" localSheetId="84">#REF!</definedName>
    <definedName name="BuzzWeb_Rx_Brochure_Filename">#REF!</definedName>
    <definedName name="BuzzWeb_Rx_Brochure_Title" localSheetId="84">#REF!</definedName>
    <definedName name="BuzzWeb_Rx_Brochure_Title">#REF!</definedName>
    <definedName name="BuzzWeb_SOB_Filename" localSheetId="84">#REF!</definedName>
    <definedName name="BuzzWeb_SOB_Filename">#REF!</definedName>
    <definedName name="BuzzWeb_SOB_FMHP_Filename" localSheetId="84">#REF!</definedName>
    <definedName name="BuzzWeb_SOB_FMHP_Filename">#REF!</definedName>
    <definedName name="BuzzWeb_State" localSheetId="84">#REF!</definedName>
    <definedName name="BuzzWeb_State">#REF!</definedName>
    <definedName name="CapDashboard">#REF!</definedName>
    <definedName name="Capitation">#REF!</definedName>
    <definedName name="Category" localSheetId="84">#REF!</definedName>
    <definedName name="Category">#REF!</definedName>
    <definedName name="catlisdt">#REF!</definedName>
    <definedName name="catlist" localSheetId="84">#REF!</definedName>
    <definedName name="catlist">#REF!</definedName>
    <definedName name="catlistn" localSheetId="84">#REF!</definedName>
    <definedName name="catlistn">#REF!</definedName>
    <definedName name="catlistx" localSheetId="84">#REF!</definedName>
    <definedName name="catlistx">#REF!</definedName>
    <definedName name="Caveats1">#REF!</definedName>
    <definedName name="Caveats2">#REF!</definedName>
    <definedName name="Caveats3">#REF!</definedName>
    <definedName name="Caveats4">#REF!</definedName>
    <definedName name="cbtest" localSheetId="84">#REF!</definedName>
    <definedName name="cbtest">#REF!</definedName>
    <definedName name="CCC" localSheetId="84">#REF!</definedName>
    <definedName name="CCC">#REF!</definedName>
    <definedName name="ccmstr" localSheetId="84">#REF!</definedName>
    <definedName name="ccmstr">#REF!</definedName>
    <definedName name="CF" localSheetId="84">#REF!</definedName>
    <definedName name="CF">#REF!</definedName>
    <definedName name="CFINPATH">#REF!</definedName>
    <definedName name="CFINRAD">#REF!</definedName>
    <definedName name="ChargeSheets" localSheetId="84">#REF!</definedName>
    <definedName name="ChargeSheets">#REF!</definedName>
    <definedName name="chart2labels" localSheetId="84">#REF!,#REF!</definedName>
    <definedName name="chart2labels">#REF!,#REF!</definedName>
    <definedName name="CHECKSTUFF" localSheetId="84">#REF!</definedName>
    <definedName name="CHECKSTUFF">#REF!</definedName>
    <definedName name="ChiroGate" localSheetId="84">#REF!</definedName>
    <definedName name="ChiroGate">#REF!</definedName>
    <definedName name="Choice_Chiro" localSheetId="84">#REF!</definedName>
    <definedName name="Choice_Chiro">#REF!</definedName>
    <definedName name="Choice_DME" localSheetId="84">#REF!</definedName>
    <definedName name="Choice_DME">#REF!</definedName>
    <definedName name="Choice_IPRehab" localSheetId="84">#REF!</definedName>
    <definedName name="Choice_IPRehab">#REF!</definedName>
    <definedName name="Choice_ONFMax" localSheetId="84">#REF!</definedName>
    <definedName name="Choice_ONFMax">#REF!</definedName>
    <definedName name="Choice_PT" localSheetId="84">#REF!</definedName>
    <definedName name="Choice_PT">#REF!</definedName>
    <definedName name="Choice_SNF" localSheetId="84">#REF!</definedName>
    <definedName name="Choice_SNF">#REF!</definedName>
    <definedName name="chrg" localSheetId="84">#REF!</definedName>
    <definedName name="chrg">#REF!</definedName>
    <definedName name="chrg_rel" localSheetId="84">#REF!</definedName>
    <definedName name="chrg_rel">#REF!</definedName>
    <definedName name="chrg_rel1" localSheetId="84">#REF!</definedName>
    <definedName name="chrg_rel1">#REF!</definedName>
    <definedName name="chrg_rel2" localSheetId="84">#REF!</definedName>
    <definedName name="chrg_rel2">#REF!</definedName>
    <definedName name="chrg1" localSheetId="84">#REF!</definedName>
    <definedName name="chrg1">#REF!</definedName>
    <definedName name="chrg2" localSheetId="84">#REF!</definedName>
    <definedName name="chrg2">#REF!</definedName>
    <definedName name="cindy" localSheetId="3" hidden="1">#REF!</definedName>
    <definedName name="cindy" localSheetId="2" hidden="1">#REF!</definedName>
    <definedName name="cindy" localSheetId="14" hidden="1">#REF!</definedName>
    <definedName name="cindy" localSheetId="18" hidden="1">#REF!</definedName>
    <definedName name="cindy" localSheetId="20" hidden="1">#REF!</definedName>
    <definedName name="cindy" localSheetId="22" hidden="1">#REF!</definedName>
    <definedName name="cindy" localSheetId="24" hidden="1">#REF!</definedName>
    <definedName name="cindy" localSheetId="26" hidden="1">#REF!</definedName>
    <definedName name="cindy" localSheetId="28" hidden="1">#REF!</definedName>
    <definedName name="cindy" localSheetId="30" hidden="1">#REF!</definedName>
    <definedName name="cindy" localSheetId="32" hidden="1">#REF!</definedName>
    <definedName name="cindy" localSheetId="34" hidden="1">#REF!</definedName>
    <definedName name="cindy" localSheetId="36" hidden="1">#REF!</definedName>
    <definedName name="cindy" localSheetId="38" hidden="1">#REF!</definedName>
    <definedName name="cindy" localSheetId="42" hidden="1">#REF!</definedName>
    <definedName name="cindy" localSheetId="44" hidden="1">#REF!</definedName>
    <definedName name="cindy" localSheetId="46" hidden="1">#REF!</definedName>
    <definedName name="cindy" localSheetId="8" hidden="1">#REF!</definedName>
    <definedName name="cindy" localSheetId="10" hidden="1">#REF!</definedName>
    <definedName name="cindy" localSheetId="12" hidden="1">#REF!</definedName>
    <definedName name="cindy" localSheetId="13" hidden="1">#REF!</definedName>
    <definedName name="cindy" localSheetId="17" hidden="1">#REF!</definedName>
    <definedName name="cindy" localSheetId="19" hidden="1">#REF!</definedName>
    <definedName name="cindy" localSheetId="21" hidden="1">#REF!</definedName>
    <definedName name="cindy" localSheetId="23" hidden="1">#REF!</definedName>
    <definedName name="cindy" localSheetId="25" hidden="1">#REF!</definedName>
    <definedName name="cindy" localSheetId="27" hidden="1">#REF!</definedName>
    <definedName name="cindy" localSheetId="29" hidden="1">#REF!</definedName>
    <definedName name="cindy" localSheetId="31" hidden="1">#REF!</definedName>
    <definedName name="cindy" localSheetId="33" hidden="1">#REF!</definedName>
    <definedName name="cindy" localSheetId="35" hidden="1">#REF!</definedName>
    <definedName name="cindy" localSheetId="37" hidden="1">#REF!</definedName>
    <definedName name="cindy" localSheetId="41" hidden="1">#REF!</definedName>
    <definedName name="cindy" localSheetId="43" hidden="1">#REF!</definedName>
    <definedName name="cindy" localSheetId="45" hidden="1">#REF!</definedName>
    <definedName name="cindy" localSheetId="7" hidden="1">#REF!</definedName>
    <definedName name="cindy" localSheetId="9" hidden="1">#REF!</definedName>
    <definedName name="cindy" localSheetId="11" hidden="1">#REF!</definedName>
    <definedName name="cindy" localSheetId="75" hidden="1">#REF!</definedName>
    <definedName name="cindy" localSheetId="57" hidden="1">#REF!</definedName>
    <definedName name="cindy" localSheetId="74" hidden="1">#REF!</definedName>
    <definedName name="cindy" localSheetId="56" hidden="1">#REF!</definedName>
    <definedName name="cindy" localSheetId="85" hidden="1">#REF!</definedName>
    <definedName name="cindy" localSheetId="87" hidden="1">#REF!</definedName>
    <definedName name="cindy" localSheetId="83" hidden="1">#REF!</definedName>
    <definedName name="cindy" localSheetId="84" hidden="1">#REF!</definedName>
    <definedName name="cindy" localSheetId="86" hidden="1">#REF!</definedName>
    <definedName name="cindy" hidden="1">#REF!</definedName>
    <definedName name="City">#REF!</definedName>
    <definedName name="CLAIMSDATA" localSheetId="84">#REF!</definedName>
    <definedName name="CLAIMSDATA">#REF!</definedName>
    <definedName name="classes" localSheetId="84">#REF!</definedName>
    <definedName name="classes">#REF!</definedName>
    <definedName name="classesn" localSheetId="84">#REF!</definedName>
    <definedName name="classesn">#REF!</definedName>
    <definedName name="Clm_summary2" localSheetId="84">#REF!</definedName>
    <definedName name="Clm_summary2">#REF!</definedName>
    <definedName name="CM">#REF!</definedName>
    <definedName name="CODES2" localSheetId="84">#REF!</definedName>
    <definedName name="CODES2">#REF!</definedName>
    <definedName name="comm_Names" localSheetId="84">#REF!</definedName>
    <definedName name="comm_Names">#REF!</definedName>
    <definedName name="comm_OP_Download" localSheetId="84">#REF!</definedName>
    <definedName name="comm_OP_Download">#REF!</definedName>
    <definedName name="comm_year" localSheetId="84">#REF!</definedName>
    <definedName name="comm_year">#REF!</definedName>
    <definedName name="COMP" localSheetId="84">#REF!</definedName>
    <definedName name="COMP">#REF!</definedName>
    <definedName name="comp_develop" localSheetId="84">#REF!</definedName>
    <definedName name="comp_develop">#REF!</definedName>
    <definedName name="comp_incurred" localSheetId="84">#REF!</definedName>
    <definedName name="comp_incurred">#REF!</definedName>
    <definedName name="CONT_TABLE1" localSheetId="84">#REF!</definedName>
    <definedName name="CONT_TABLE1">#REF!</definedName>
    <definedName name="CONT_TABLE2" localSheetId="84">#REF!</definedName>
    <definedName name="CONT_TABLE2">#REF!</definedName>
    <definedName name="CONT_TABLE3" localSheetId="84">#REF!</definedName>
    <definedName name="CONT_TABLE3">#REF!</definedName>
    <definedName name="CONT_TABLE4" localSheetId="84">#REF!</definedName>
    <definedName name="CONT_TABLE4">#REF!</definedName>
    <definedName name="CONT_TABLE5" localSheetId="84">#REF!</definedName>
    <definedName name="CONT_TABLE5">#REF!</definedName>
    <definedName name="CONT_TABLE6" localSheetId="84">#REF!</definedName>
    <definedName name="CONT_TABLE6">#REF!</definedName>
    <definedName name="Contractual4aList" localSheetId="84">#REF!</definedName>
    <definedName name="Contractual4aList">#REF!</definedName>
    <definedName name="Contractual4aMHNumber" localSheetId="84">#REF!</definedName>
    <definedName name="Contractual4aMHNumber">#REF!</definedName>
    <definedName name="Contractual4aSANumber" localSheetId="84">#REF!</definedName>
    <definedName name="Contractual4aSANumber">#REF!</definedName>
    <definedName name="Contractual4bExams" localSheetId="84">#REF!</definedName>
    <definedName name="Contractual4bExams">#REF!</definedName>
    <definedName name="Contractual4bExamsNumber" localSheetId="84">#REF!</definedName>
    <definedName name="Contractual4bExamsNumber">#REF!</definedName>
    <definedName name="Contractual4bHardwareNumber" localSheetId="84">#REF!</definedName>
    <definedName name="Contractual4bHardwareNumber">#REF!</definedName>
    <definedName name="Contractual4bList" localSheetId="84">#REF!</definedName>
    <definedName name="Contractual4bList">#REF!</definedName>
    <definedName name="Contractual4eList" localSheetId="84">#REF!</definedName>
    <definedName name="Contractual4eList">#REF!</definedName>
    <definedName name="Contractual4eNumber" localSheetId="84">#REF!</definedName>
    <definedName name="Contractual4eNumber">#REF!</definedName>
    <definedName name="costlookup" localSheetId="84">#REF!</definedName>
    <definedName name="costlookup">#REF!</definedName>
    <definedName name="CostMix">#REF!</definedName>
    <definedName name="countfilter3" localSheetId="84">#REF!</definedName>
    <definedName name="countfilter3">#REF!</definedName>
    <definedName name="CPD_DETAIL_OON" localSheetId="84">#REF!</definedName>
    <definedName name="CPD_DETAIL_OON">#REF!</definedName>
    <definedName name="CPDList" localSheetId="84">#REF!</definedName>
    <definedName name="CPDList">#REF!</definedName>
    <definedName name="CT_SG_YTD201510_CENSUS2" localSheetId="84">#REF!</definedName>
    <definedName name="CT_SG_YTD201510_CENSUS2">#REF!</definedName>
    <definedName name="CTPMPMVar" localSheetId="84">#REF!</definedName>
    <definedName name="CTPMPMVar">#REF!</definedName>
    <definedName name="CTPMPMVarBE" localSheetId="84">#REF!</definedName>
    <definedName name="CTPMPMVarBE">#REF!</definedName>
    <definedName name="current_drv" localSheetId="84">#REF!</definedName>
    <definedName name="current_drv">#REF!</definedName>
    <definedName name="CurrentMO">#REF!</definedName>
    <definedName name="CurrentMonth" localSheetId="84">#REF!</definedName>
    <definedName name="CurrentMonth">#REF!</definedName>
    <definedName name="CurrentMonth1" localSheetId="84">#REF!</definedName>
    <definedName name="CurrentMonth1">#REF!</definedName>
    <definedName name="currentrecord" localSheetId="84">#REF!</definedName>
    <definedName name="currentrecord">#REF!</definedName>
    <definedName name="d">#REF!</definedName>
    <definedName name="D_dent_size" localSheetId="84">#REF!</definedName>
    <definedName name="D_dent_size">#REF!</definedName>
    <definedName name="D_MedSupp" localSheetId="84">#REF!</definedName>
    <definedName name="D_MedSupp">#REF!</definedName>
    <definedName name="data" localSheetId="84">#REF!</definedName>
    <definedName name="data">#REF!</definedName>
    <definedName name="_xlnm.Database" localSheetId="84">#REF!</definedName>
    <definedName name="_xlnm.Database">#REF!</definedName>
    <definedName name="dd">#REF!</definedName>
    <definedName name="ddd" localSheetId="3" hidden="1">#REF!</definedName>
    <definedName name="ddd" localSheetId="14" hidden="1">#REF!</definedName>
    <definedName name="ddd" localSheetId="16" hidden="1">#REF!</definedName>
    <definedName name="ddd" localSheetId="13" hidden="1">#REF!</definedName>
    <definedName name="ddd" localSheetId="15" hidden="1">#REF!</definedName>
    <definedName name="ddd" localSheetId="87" hidden="1">#REF!</definedName>
    <definedName name="ddd" localSheetId="86" hidden="1">#REF!</definedName>
    <definedName name="ddd" hidden="1">#REF!</definedName>
    <definedName name="dddd">#REF!</definedName>
    <definedName name="dddddd">#REF!</definedName>
    <definedName name="Ded_Types" localSheetId="84">#REF!</definedName>
    <definedName name="Ded_Types">#REF!</definedName>
    <definedName name="DedAggr" localSheetId="84">#REF!</definedName>
    <definedName name="DedAggr">#REF!</definedName>
    <definedName name="DedApplyRx" localSheetId="84">#REF!</definedName>
    <definedName name="DedApplyRx">#REF!</definedName>
    <definedName name="DedTypes" localSheetId="84">#REF!</definedName>
    <definedName name="DedTypes">#REF!</definedName>
    <definedName name="DedUt_BB" localSheetId="84">#REF!</definedName>
    <definedName name="DedUt_BB">#REF!</definedName>
    <definedName name="DedUt_Gen" localSheetId="84">#REF!</definedName>
    <definedName name="DedUt_Gen">#REF!</definedName>
    <definedName name="DEL_ID" localSheetId="84">OFFSET(#REF!,6,0,COUNTA(#REF!)-2,1)</definedName>
    <definedName name="DEL_ID">OFFSET(#REF!,6,0,COUNTA(#REF!)-2,1)</definedName>
    <definedName name="DeloittePMPM" localSheetId="84">#REF!</definedName>
    <definedName name="DeloittePMPM">#REF!</definedName>
    <definedName name="DeloittePMPMBE" localSheetId="84">#REF!</definedName>
    <definedName name="DeloittePMPMBE">#REF!</definedName>
    <definedName name="DemogList" localSheetId="84">#REF!</definedName>
    <definedName name="DemogList">#REF!</definedName>
    <definedName name="DemogNumber" localSheetId="84">#REF!</definedName>
    <definedName name="DemogNumber">#REF!</definedName>
    <definedName name="DEMOGRAPHICS">#REF!</definedName>
    <definedName name="DemogValue" localSheetId="84">#REF!</definedName>
    <definedName name="DemogValue">#REF!</definedName>
    <definedName name="DENTALRIDERS">#REF!</definedName>
    <definedName name="dept" localSheetId="84">#REF!</definedName>
    <definedName name="dept">#REF!</definedName>
    <definedName name="deptlist" localSheetId="84">#REF!</definedName>
    <definedName name="deptlist">#REF!</definedName>
    <definedName name="deptlistn" localSheetId="84">#REF!</definedName>
    <definedName name="deptlistn">#REF!</definedName>
    <definedName name="descriptions" localSheetId="84">#REF!</definedName>
    <definedName name="descriptions">#REF!</definedName>
    <definedName name="driver" localSheetId="84">#REF!</definedName>
    <definedName name="driver">#REF!</definedName>
    <definedName name="drivers" localSheetId="84">#REF!</definedName>
    <definedName name="drivers">#REF!</definedName>
    <definedName name="DRUGFACTORS">#REF!</definedName>
    <definedName name="DRUGFACTORSCOMPASS">#REF!</definedName>
    <definedName name="DRUGList">#REF!</definedName>
    <definedName name="DRUGLISTCOMPASS">#REF!</definedName>
    <definedName name="dyna_rnge_orig_data_0" localSheetId="84">OFFSET(#REF!,#REF!-1,0,#REF!,1)</definedName>
    <definedName name="dyna_rnge_orig_data_0">OFFSET(#REF!,#REF!-1,0,#REF!,1)</definedName>
    <definedName name="dyna_rnge_orig_data_1" localSheetId="84">OFFSET(#REF!,#REF!-1,0,#REF!,1)</definedName>
    <definedName name="dyna_rnge_orig_data_1">OFFSET(#REF!,#REF!-1,0,#REF!,1)</definedName>
    <definedName name="dyna_rnge_orig_data_2" localSheetId="84">OFFSET(#REF!,0,0,#REF!,1)</definedName>
    <definedName name="dyna_rnge_orig_data_2">OFFSET(#REF!,0,0,#REF!,1)</definedName>
    <definedName name="dyna_rnge_orig_data_4" localSheetId="84">OFFSET(#REF!,#REF!-1,#REF!-1,#REF!,#REF!)</definedName>
    <definedName name="dyna_rnge_orig_data_4">OFFSET(#REF!,#REF!-1,#REF!-1,#REF!,#REF!)</definedName>
    <definedName name="dyna_rnge_start_cell" localSheetId="84">OFFSET(#REF!,#REF!-1,0,#REF!,1)</definedName>
    <definedName name="dyna_rnge_start_cell">OFFSET(#REF!,#REF!-1,0,#REF!,1)</definedName>
    <definedName name="dyna_rnge_work_data4" localSheetId="84">OFFSET(#REF!,0,0,1,1)</definedName>
    <definedName name="dyna_rnge_work_data4">OFFSET(#REF!,0,0,1,1)</definedName>
    <definedName name="dyna_rnge_work_data4_0" localSheetId="84">OFFSET(#REF!,0,0,#REF!,1)</definedName>
    <definedName name="dyna_rnge_work_data4_0">OFFSET(#REF!,0,0,#REF!,1)</definedName>
    <definedName name="dyna_rnge_work_data4_1" localSheetId="84">OFFSET(#REF!,0,0,#REF!,1)</definedName>
    <definedName name="dyna_rnge_work_data4_1">OFFSET(#REF!,0,0,#REF!,1)</definedName>
    <definedName name="dyna_rnge_work_data4_2" localSheetId="84">OFFSET(#REF!,0,0,#REF!,1)</definedName>
    <definedName name="dyna_rnge_work_data4_2">OFFSET(#REF!,0,0,#REF!,1)</definedName>
    <definedName name="dyna_rnge_work_data4_3" localSheetId="84">OFFSET(#REF!,0,0,1,#REF!)</definedName>
    <definedName name="dyna_rnge_work_data4_3">OFFSET(#REF!,0,0,1,#REF!)</definedName>
    <definedName name="dyna_rnge_work_data4_4" localSheetId="84">OFFSET(#REF!,0,0,#REF!,#REF!)</definedName>
    <definedName name="dyna_rnge_work_data4_4">OFFSET(#REF!,0,0,#REF!,#REF!)</definedName>
    <definedName name="dyna_rnge_work_data4_5" localSheetId="84">OFFSET(#REF!,0,0,#REF!,#REF!-1)</definedName>
    <definedName name="dyna_rnge_work_data4_5">OFFSET(#REF!,0,0,#REF!,#REF!-1)</definedName>
    <definedName name="dyna_rnge_work_data4_6" localSheetId="84">OFFSET(#REF!,0,#REF!,1,1)</definedName>
    <definedName name="dyna_rnge_work_data4_6">OFFSET(#REF!,0,#REF!,1,1)</definedName>
    <definedName name="dyna_rnge_work_data4_7" localSheetId="84">OFFSET(#REF!,0,#REF!,1,1)</definedName>
    <definedName name="dyna_rnge_work_data4_7">OFFSET(#REF!,0,#REF!,1,1)</definedName>
    <definedName name="dyna_rnge_work_data4_8" localSheetId="84">OFFSET(#REF!,0,#REF!,#REF!-1,1)</definedName>
    <definedName name="dyna_rnge_work_data4_8">OFFSET(#REF!,0,#REF!,#REF!-1,1)</definedName>
    <definedName name="dyna_rnge_work_data5_0" localSheetId="84">OFFSET(#REF!,0,0,#REF!,1)</definedName>
    <definedName name="dyna_rnge_work_data5_0">OFFSET(#REF!,0,0,#REF!,1)</definedName>
    <definedName name="dyna_rnge_work_data5_1" localSheetId="84">OFFSET(#REF!,0,0,#REF!,1)</definedName>
    <definedName name="dyna_rnge_work_data5_1">OFFSET(#REF!,0,0,#REF!,1)</definedName>
    <definedName name="dyna_rnge_work_data5_10" localSheetId="84">OFFSET(#REF!,0,0,1,#REF!-2)</definedName>
    <definedName name="dyna_rnge_work_data5_10">OFFSET(#REF!,0,0,1,#REF!-2)</definedName>
    <definedName name="dyna_rnge_work_data5_11" localSheetId="84">OFFSET(#REF!,0,#REF!-2,1,1)</definedName>
    <definedName name="dyna_rnge_work_data5_11">OFFSET(#REF!,0,#REF!-2,1,1)</definedName>
    <definedName name="dyna_rnge_work_data5_12" localSheetId="84">OFFSET(#REF!,0,#REF!-3,1,1)</definedName>
    <definedName name="dyna_rnge_work_data5_12">OFFSET(#REF!,0,#REF!-3,1,1)</definedName>
    <definedName name="dyna_rnge_work_data5_13" localSheetId="84">OFFSET(#REF!,0,0,1,#REF!-3)</definedName>
    <definedName name="dyna_rnge_work_data5_13">OFFSET(#REF!,0,0,1,#REF!-3)</definedName>
    <definedName name="dyna_rnge_work_data5_14" localSheetId="84">OFFSET(#REF!,0,#REF!-4,1,1)</definedName>
    <definedName name="dyna_rnge_work_data5_14">OFFSET(#REF!,0,#REF!-4,1,1)</definedName>
    <definedName name="dyna_rnge_work_data5_2" localSheetId="84">OFFSET(#REF!,0,0,#REF!,1)</definedName>
    <definedName name="dyna_rnge_work_data5_2">OFFSET(#REF!,0,0,#REF!,1)</definedName>
    <definedName name="dyna_rnge_work_data5_3" localSheetId="84">OFFSET(#REF!,0,0,1,#REF!)</definedName>
    <definedName name="dyna_rnge_work_data5_3">OFFSET(#REF!,0,0,1,#REF!)</definedName>
    <definedName name="dyna_rnge_work_data5_4" localSheetId="84">OFFSET(#REF!,0,0,#REF!-1,1)</definedName>
    <definedName name="dyna_rnge_work_data5_4">OFFSET(#REF!,0,0,#REF!-1,1)</definedName>
    <definedName name="dyna_rnge_work_data5_5" localSheetId="84">OFFSET(#REF!,0,0,#REF!,#REF!-1)</definedName>
    <definedName name="dyna_rnge_work_data5_5">OFFSET(#REF!,0,0,#REF!,#REF!-1)</definedName>
    <definedName name="dyna_rnge_work_data5_6" localSheetId="84">OFFSET(#REF!,0,0,1,#REF!-1)</definedName>
    <definedName name="dyna_rnge_work_data5_6">OFFSET(#REF!,0,0,1,#REF!-1)</definedName>
    <definedName name="dyna_rnge_work_data5_7" localSheetId="84">OFFSET(#REF!,0,0,1,#REF!-1)</definedName>
    <definedName name="dyna_rnge_work_data5_7">OFFSET(#REF!,0,0,1,#REF!-1)</definedName>
    <definedName name="dyna_rnge_work_data5_8" localSheetId="84">OFFSET(#REF!,0,0,1,#REF!-3)</definedName>
    <definedName name="dyna_rnge_work_data5_8">OFFSET(#REF!,0,0,1,#REF!-3)</definedName>
    <definedName name="dyna_rnge_work_data5_9" localSheetId="84">OFFSET(#REF!,0,0,1,#REF!-3)</definedName>
    <definedName name="dyna_rnge_work_data5_9">OFFSET(#REF!,0,0,1,#REF!-3)</definedName>
    <definedName name="dyna_rnge_work_data6_0" localSheetId="84">OFFSET(#REF!,0,0,#REF!-1,1)</definedName>
    <definedName name="dyna_rnge_work_data6_0">OFFSET(#REF!,0,0,#REF!-1,1)</definedName>
    <definedName name="dyna_rnge_work_data6_1" localSheetId="84">OFFSET(#REF!,0,0,#REF!,3)</definedName>
    <definedName name="dyna_rnge_work_data6_1">OFFSET(#REF!,0,0,#REF!,3)</definedName>
    <definedName name="dyna_rnge_work_data6_10" localSheetId="84">OFFSET(#REF!,0,0,#REF!-1,1)</definedName>
    <definedName name="dyna_rnge_work_data6_10">OFFSET(#REF!,0,0,#REF!-1,1)</definedName>
    <definedName name="dyna_rnge_work_data6_11" localSheetId="84">OFFSET(#REF!,0,0,#REF!-1,1)</definedName>
    <definedName name="dyna_rnge_work_data6_11">OFFSET(#REF!,0,0,#REF!-1,1)</definedName>
    <definedName name="dyna_rnge_work_data6_12" localSheetId="84">OFFSET(#REF!,0,0,#REF!-1,41)</definedName>
    <definedName name="dyna_rnge_work_data6_12">OFFSET(#REF!,0,0,#REF!-1,41)</definedName>
    <definedName name="dyna_rnge_work_data6_13" localSheetId="84">OFFSET(#REF!,0,0,#REF!-1,1)</definedName>
    <definedName name="dyna_rnge_work_data6_13">OFFSET(#REF!,0,0,#REF!-1,1)</definedName>
    <definedName name="dyna_rnge_work_data6_14" localSheetId="84">OFFSET(#REF!,0,0,#REF!-1,1)</definedName>
    <definedName name="dyna_rnge_work_data6_14">OFFSET(#REF!,0,0,#REF!-1,1)</definedName>
    <definedName name="dyna_rnge_work_data6_15" localSheetId="84">OFFSET(#REF!,0,0,#REF!-#REF! - 1,1)</definedName>
    <definedName name="dyna_rnge_work_data6_15">OFFSET(#REF!,0,0,#REF!-#REF! - 1,1)</definedName>
    <definedName name="dyna_rnge_work_data6_16" localSheetId="84">OFFSET(#REF!,0,0,#REF!-1,1)</definedName>
    <definedName name="dyna_rnge_work_data6_16">OFFSET(#REF!,0,0,#REF!-1,1)</definedName>
    <definedName name="dyna_rnge_work_data6_2" localSheetId="84">OFFSET(#REF!,0,0,#REF! - 1,1)</definedName>
    <definedName name="dyna_rnge_work_data6_2">OFFSET(#REF!,0,0,#REF! - 1,1)</definedName>
    <definedName name="dyna_rnge_work_data6_3" localSheetId="84">OFFSET(#REF!,0,0,#REF! - 1,1)</definedName>
    <definedName name="dyna_rnge_work_data6_3">OFFSET(#REF!,0,0,#REF! - 1,1)</definedName>
    <definedName name="dyna_rnge_work_data6_4" localSheetId="84">OFFSET(#REF!,0,0,#REF!,#REF! + 4)</definedName>
    <definedName name="dyna_rnge_work_data6_4">OFFSET(#REF!,0,0,#REF!,#REF! + 4)</definedName>
    <definedName name="dyna_rnge_work_data6_5" localSheetId="84">OFFSET(#REF!,0,0,#REF! - 1,1)</definedName>
    <definedName name="dyna_rnge_work_data6_5">OFFSET(#REF!,0,0,#REF! - 1,1)</definedName>
    <definedName name="dyna_rnge_work_data6_6" localSheetId="84">OFFSET(#REF!,0,0,#REF! - 1,1)</definedName>
    <definedName name="dyna_rnge_work_data6_6">OFFSET(#REF!,0,0,#REF! - 1,1)</definedName>
    <definedName name="dyna_rnge_work_data6_7" localSheetId="84">OFFSET(#REF!,0,0, 5,#REF! )</definedName>
    <definedName name="dyna_rnge_work_data6_7">OFFSET(#REF!,0,0, 5,#REF! )</definedName>
    <definedName name="dyna_rnge_work_data6_8" localSheetId="84">OFFSET(#REF!,0,0,#REF!-1,1)</definedName>
    <definedName name="dyna_rnge_work_data6_8">OFFSET(#REF!,0,0,#REF!-1,1)</definedName>
    <definedName name="dyna_rnge_work_data6_9" localSheetId="84">OFFSET(#REF!,0,0,#REF!-1,1)</definedName>
    <definedName name="dyna_rnge_work_data6_9">OFFSET(#REF!,0,0,#REF!-1,1)</definedName>
    <definedName name="e">#REF!</definedName>
    <definedName name="eg">#REF!</definedName>
    <definedName name="EnrollDetTotSubs">#REF!</definedName>
    <definedName name="ERF_Directory">#REF!</definedName>
    <definedName name="ERFNBMMSColOff">#REF!</definedName>
    <definedName name="ERFNBMMSRowOff">#REF!</definedName>
    <definedName name="ERFNBPremColOff">#REF!</definedName>
    <definedName name="ERFNBPremRowOff">#REF!</definedName>
    <definedName name="ERFNBTab">#REF!</definedName>
    <definedName name="ERFProd1NewInd">#REF!</definedName>
    <definedName name="ERFProd1OldInd">#REF!</definedName>
    <definedName name="ERFProd2NewInd">#REF!</definedName>
    <definedName name="ERFProd2OldInd">#REF!</definedName>
    <definedName name="ERFProd3NewInd">#REF!</definedName>
    <definedName name="ERFProd3OldInd">#REF!</definedName>
    <definedName name="ERFProd4NewInd">#REF!</definedName>
    <definedName name="ERFProd4OldInd">#REF!</definedName>
    <definedName name="ERFRNWMMSColOff">#REF!</definedName>
    <definedName name="ERFRNWMMSRowOff">#REF!</definedName>
    <definedName name="ERFRNWPremColOff">#REF!</definedName>
    <definedName name="ERFRNWPremRowOff">#REF!</definedName>
    <definedName name="ERFRNWTab">#REF!</definedName>
    <definedName name="ERFRowMatch1">#REF!</definedName>
    <definedName name="ERFRowMatch2">#REF!</definedName>
    <definedName name="ert" localSheetId="84">#REF!</definedName>
    <definedName name="ert">#REF!</definedName>
    <definedName name="Escalation_Level" localSheetId="84">#REF!</definedName>
    <definedName name="Escalation_Level">#REF!</definedName>
    <definedName name="esummary" localSheetId="84">#REF!</definedName>
    <definedName name="esummary">#REF!</definedName>
    <definedName name="ExamsChildrenOnly" localSheetId="84">#REF!</definedName>
    <definedName name="ExamsChildrenOnly">#REF!</definedName>
    <definedName name="Excess_rate" localSheetId="84">#REF!</definedName>
    <definedName name="Excess_rate">#REF!</definedName>
    <definedName name="ExcludeMailOrder" localSheetId="84">#REF!</definedName>
    <definedName name="ExcludeMailOrder">#REF!</definedName>
    <definedName name="EXCLUDETAB" localSheetId="84">#REF!</definedName>
    <definedName name="EXCLUDETAB">#REF!</definedName>
    <definedName name="Exess_2_rate" localSheetId="84">#REF!</definedName>
    <definedName name="Exess_2_rate">#REF!</definedName>
    <definedName name="expcat" localSheetId="84">#REF!</definedName>
    <definedName name="expcat">#REF!</definedName>
    <definedName name="EXPORT_2003" localSheetId="84">#REF!</definedName>
    <definedName name="EXPORT_2003">#REF!</definedName>
    <definedName name="f">#REF!</definedName>
    <definedName name="F_AGE" localSheetId="84">#REF!</definedName>
    <definedName name="F_AGE">#REF!</definedName>
    <definedName name="F_AGESEX" localSheetId="84">#REF!</definedName>
    <definedName name="F_AGESEX">#REF!</definedName>
    <definedName name="F_AREA" localSheetId="84">#REF!</definedName>
    <definedName name="F_AREA">#REF!</definedName>
    <definedName name="F_ASF" localSheetId="84">#REF!</definedName>
    <definedName name="F_ASF">#REF!</definedName>
    <definedName name="F_COINS" localSheetId="84">#REF!</definedName>
    <definedName name="F_COINS">#REF!</definedName>
    <definedName name="F_DED" localSheetId="84">#REF!</definedName>
    <definedName name="F_DED">#REF!</definedName>
    <definedName name="F_DED2" localSheetId="84">#REF!</definedName>
    <definedName name="F_DED2">#REF!</definedName>
    <definedName name="F_DED3" localSheetId="84">#REF!</definedName>
    <definedName name="F_DED3">#REF!</definedName>
    <definedName name="F_EFF" localSheetId="84">#REF!</definedName>
    <definedName name="F_EFF">#REF!</definedName>
    <definedName name="F_MAX" localSheetId="84">#REF!</definedName>
    <definedName name="F_MAX">#REF!</definedName>
    <definedName name="F_NONPAR" localSheetId="84">#REF!</definedName>
    <definedName name="F_NONPAR">#REF!</definedName>
    <definedName name="F_PLR" localSheetId="84">#REF!</definedName>
    <definedName name="F_PLR">#REF!</definedName>
    <definedName name="F_PRIME" localSheetId="84">#REF!</definedName>
    <definedName name="F_PRIME">#REF!</definedName>
    <definedName name="F_ROOKIE" localSheetId="84">#REF!</definedName>
    <definedName name="F_ROOKIE">#REF!</definedName>
    <definedName name="F_STU" localSheetId="84">#REF!</definedName>
    <definedName name="F_STU">#REF!</definedName>
    <definedName name="F_USE" localSheetId="84">#REF!</definedName>
    <definedName name="F_USE">#REF!</definedName>
    <definedName name="F_VETRAN" localSheetId="84">#REF!</definedName>
    <definedName name="F_VETRAN">#REF!</definedName>
    <definedName name="F_VIRGIN" localSheetId="84">#REF!</definedName>
    <definedName name="F_VIRGIN">#REF!</definedName>
    <definedName name="F1MMSColOff">#REF!</definedName>
    <definedName name="F1MMSRowOff">#REF!</definedName>
    <definedName name="F1PremColOff">#REF!</definedName>
    <definedName name="F1PremRowOff">#REF!</definedName>
    <definedName name="fe">#REF!</definedName>
    <definedName name="fh" localSheetId="84">#REF!</definedName>
    <definedName name="fh">#REF!</definedName>
    <definedName name="FilterCriteria" localSheetId="84">#REF!</definedName>
    <definedName name="FilterCriteria">#REF!</definedName>
    <definedName name="FilterCriteria2" localSheetId="84">#REF!</definedName>
    <definedName name="FilterCriteria2">#REF!</definedName>
    <definedName name="FilterInfoRange">#REF!</definedName>
    <definedName name="FilterList1" localSheetId="84">#REF!</definedName>
    <definedName name="FilterList1">#REF!</definedName>
    <definedName name="FilterList1_OON" localSheetId="84">#REF!</definedName>
    <definedName name="FilterList1_OON">#REF!</definedName>
    <definedName name="FilterList1B" localSheetId="84">#REF!</definedName>
    <definedName name="FilterList1B">#REF!</definedName>
    <definedName name="FilterList1B_OON" localSheetId="84">#REF!</definedName>
    <definedName name="FilterList1B_OON">#REF!</definedName>
    <definedName name="FilterList2" localSheetId="84">#REF!</definedName>
    <definedName name="FilterList2">#REF!</definedName>
    <definedName name="filterlist3" localSheetId="84">#REF!</definedName>
    <definedName name="filterlist3">#REF!</definedName>
    <definedName name="Final" localSheetId="84">#REF!</definedName>
    <definedName name="Final">#REF!</definedName>
    <definedName name="FINAL_MARKET_BASKET" localSheetId="84">#REF!</definedName>
    <definedName name="FINAL_MARKET_BASKET">#REF!</definedName>
    <definedName name="Final_without_Duplicates" localSheetId="84">#REF!</definedName>
    <definedName name="Final_without_Duplicates">#REF!</definedName>
    <definedName name="FinalCaveats1">#REF!</definedName>
    <definedName name="FinalCaveats2">#REF!</definedName>
    <definedName name="FinalCaveats3">#REF!</definedName>
    <definedName name="FinalCaveats4">#REF!</definedName>
    <definedName name="FirstMonth" localSheetId="84">#REF!</definedName>
    <definedName name="FirstMonth">#REF!</definedName>
    <definedName name="FirstYearRNW">#REF!</definedName>
    <definedName name="FixedMLRs">#REF!</definedName>
    <definedName name="for_UCL_Summary_201505" localSheetId="75">for UCL [0]!Summary #REF!</definedName>
    <definedName name="for_UCL_Summary_201505" localSheetId="57">for UCL Summary #REF!</definedName>
    <definedName name="for_UCL_Summary_201505" localSheetId="74">for UCL [0]!Summary #REF!</definedName>
    <definedName name="for_UCL_Summary_201505" localSheetId="56">for UCL Summary #REF!</definedName>
    <definedName name="for_UCL_Summary_201505" localSheetId="84">for UCL 'LO6 Q6 Data'!Summary #REF!</definedName>
    <definedName name="for_UCL_Summary_201505">for UCL Summary #REF!</definedName>
    <definedName name="FORDOWNLOAD" localSheetId="84">#REF!</definedName>
    <definedName name="FORDOWNLOAD">#REF!</definedName>
    <definedName name="ForeAdjustments">#REF!</definedName>
    <definedName name="ForeBTLClaims">#REF!</definedName>
    <definedName name="Forecast_renewal" localSheetId="84">#REF!</definedName>
    <definedName name="Forecast_renewal">#REF!</definedName>
    <definedName name="ForeClaims">#REF!</definedName>
    <definedName name="ForePMPMs">#REF!</definedName>
    <definedName name="ForeYear">#REF!</definedName>
    <definedName name="ForeYearCapMMS">#REF!</definedName>
    <definedName name="ForeYearIPClaims">#REF!</definedName>
    <definedName name="ForeYearNonCapMMS">#REF!</definedName>
    <definedName name="ForeYearOPClaims">#REF!</definedName>
    <definedName name="ForeYearOVClaims">#REF!</definedName>
    <definedName name="ForeYearRxClaims">#REF!</definedName>
    <definedName name="formula_for_mnths" localSheetId="84">((YEAR(#REF!)-2000)-1)*12 + MONTH(#REF!)</definedName>
    <definedName name="formula_for_mnths">((YEAR(#REF!)-2000)-1)*12 + MONTH(#REF!)</definedName>
    <definedName name="FreqSheets" localSheetId="84">#REF!</definedName>
    <definedName name="FreqSheets">#REF!</definedName>
    <definedName name="FROM_SAS" localSheetId="84">#REF!</definedName>
    <definedName name="FROM_SAS">#REF!</definedName>
    <definedName name="FSENdwnld" localSheetId="84">#REF!</definedName>
    <definedName name="FSENdwnld">#REF!</definedName>
    <definedName name="funding" localSheetId="84">#REF!</definedName>
    <definedName name="funding">#REF!</definedName>
    <definedName name="FYB_Date" localSheetId="84">#REF!</definedName>
    <definedName name="FYB_Date">#REF!</definedName>
    <definedName name="FYE_Date" localSheetId="84">#REF!</definedName>
    <definedName name="FYE_Date">#REF!</definedName>
    <definedName name="gcitotc" localSheetId="84">#REF!</definedName>
    <definedName name="gcitotc">#REF!</definedName>
    <definedName name="gcitotc3" localSheetId="84">#REF!</definedName>
    <definedName name="gcitotc3">#REF!</definedName>
    <definedName name="gcototc" localSheetId="84">#REF!</definedName>
    <definedName name="gcototc">#REF!</definedName>
    <definedName name="gcototc3" localSheetId="84">#REF!</definedName>
    <definedName name="gcototc3">#REF!</definedName>
    <definedName name="gebtotc" localSheetId="84">#REF!</definedName>
    <definedName name="gebtotc">#REF!</definedName>
    <definedName name="gebtotc3" localSheetId="84">#REF!</definedName>
    <definedName name="gebtotc3">#REF!</definedName>
    <definedName name="GenericDispensingPts" localSheetId="84">#REF!</definedName>
    <definedName name="GenericDispensingPts">#REF!</definedName>
    <definedName name="Graph" localSheetId="3" hidden="1">#REF!</definedName>
    <definedName name="Graph" localSheetId="2" hidden="1">#REF!</definedName>
    <definedName name="Graph" localSheetId="14" hidden="1">#REF!</definedName>
    <definedName name="Graph" localSheetId="18" hidden="1">#REF!</definedName>
    <definedName name="Graph" localSheetId="20" hidden="1">#REF!</definedName>
    <definedName name="Graph" localSheetId="22" hidden="1">#REF!</definedName>
    <definedName name="Graph" localSheetId="24" hidden="1">#REF!</definedName>
    <definedName name="Graph" localSheetId="26" hidden="1">#REF!</definedName>
    <definedName name="Graph" localSheetId="28" hidden="1">#REF!</definedName>
    <definedName name="Graph" localSheetId="30" hidden="1">#REF!</definedName>
    <definedName name="Graph" localSheetId="32" hidden="1">#REF!</definedName>
    <definedName name="Graph" localSheetId="34" hidden="1">#REF!</definedName>
    <definedName name="Graph" localSheetId="36" hidden="1">#REF!</definedName>
    <definedName name="Graph" localSheetId="38" hidden="1">#REF!</definedName>
    <definedName name="Graph" localSheetId="42" hidden="1">#REF!</definedName>
    <definedName name="Graph" localSheetId="44" hidden="1">#REF!</definedName>
    <definedName name="Graph" localSheetId="46" hidden="1">#REF!</definedName>
    <definedName name="Graph" localSheetId="8" hidden="1">#REF!</definedName>
    <definedName name="Graph" localSheetId="10" hidden="1">#REF!</definedName>
    <definedName name="Graph" localSheetId="12" hidden="1">#REF!</definedName>
    <definedName name="Graph" localSheetId="13" hidden="1">#REF!</definedName>
    <definedName name="Graph" localSheetId="17" hidden="1">#REF!</definedName>
    <definedName name="Graph" localSheetId="19" hidden="1">#REF!</definedName>
    <definedName name="Graph" localSheetId="21" hidden="1">#REF!</definedName>
    <definedName name="Graph" localSheetId="23" hidden="1">#REF!</definedName>
    <definedName name="Graph" localSheetId="25" hidden="1">#REF!</definedName>
    <definedName name="Graph" localSheetId="27" hidden="1">#REF!</definedName>
    <definedName name="Graph" localSheetId="29" hidden="1">#REF!</definedName>
    <definedName name="Graph" localSheetId="31" hidden="1">#REF!</definedName>
    <definedName name="Graph" localSheetId="33" hidden="1">#REF!</definedName>
    <definedName name="Graph" localSheetId="35" hidden="1">#REF!</definedName>
    <definedName name="Graph" localSheetId="37" hidden="1">#REF!</definedName>
    <definedName name="Graph" localSheetId="41" hidden="1">#REF!</definedName>
    <definedName name="Graph" localSheetId="43" hidden="1">#REF!</definedName>
    <definedName name="Graph" localSheetId="45" hidden="1">#REF!</definedName>
    <definedName name="Graph" localSheetId="7" hidden="1">#REF!</definedName>
    <definedName name="Graph" localSheetId="9" hidden="1">#REF!</definedName>
    <definedName name="Graph" localSheetId="11" hidden="1">#REF!</definedName>
    <definedName name="Graph" localSheetId="75" hidden="1">#REF!</definedName>
    <definedName name="Graph" localSheetId="57" hidden="1">#REF!</definedName>
    <definedName name="Graph" localSheetId="74" hidden="1">#REF!</definedName>
    <definedName name="Graph" localSheetId="56" hidden="1">#REF!</definedName>
    <definedName name="Graph" localSheetId="85" hidden="1">#REF!</definedName>
    <definedName name="Graph" localSheetId="87" hidden="1">#REF!</definedName>
    <definedName name="Graph" localSheetId="83" hidden="1">#REF!</definedName>
    <definedName name="Graph" localSheetId="84" hidden="1">#REF!</definedName>
    <definedName name="Graph" localSheetId="86" hidden="1">#REF!</definedName>
    <definedName name="Graph" hidden="1">#REF!</definedName>
    <definedName name="graphobs" localSheetId="84">OFFSET(#REF!,0,19,#REF!,1)</definedName>
    <definedName name="graphobs">OFFSET(#REF!,0,19,#REF!,1)</definedName>
    <definedName name="graphq" localSheetId="84">OFFSET(#REF!,0,21,#REF!,1)</definedName>
    <definedName name="graphq">OFFSET(#REF!,0,21,#REF!,1)</definedName>
    <definedName name="Group3">#REF!</definedName>
    <definedName name="Group4">#REF!</definedName>
    <definedName name="GRPSUMMONTH" localSheetId="84">#REF!</definedName>
    <definedName name="GRPSUMMONTH">#REF!</definedName>
    <definedName name="GRPSUMYTD" localSheetId="84">#REF!</definedName>
    <definedName name="GRPSUMYTD">#REF!</definedName>
    <definedName name="gsitotc" localSheetId="84">#REF!</definedName>
    <definedName name="gsitotc">#REF!</definedName>
    <definedName name="gsitotc3" localSheetId="84">#REF!</definedName>
    <definedName name="gsitotc3">#REF!</definedName>
    <definedName name="gsototc" localSheetId="84">#REF!</definedName>
    <definedName name="gsototc">#REF!</definedName>
    <definedName name="gsototc3" localSheetId="84">#REF!</definedName>
    <definedName name="gsototc3">#REF!</definedName>
    <definedName name="h">#REF!</definedName>
    <definedName name="H_Audit" localSheetId="75">Paid #REF!</definedName>
    <definedName name="H_Audit" localSheetId="57">Paid #REF!</definedName>
    <definedName name="H_Audit" localSheetId="74">Paid #REF!</definedName>
    <definedName name="H_Audit" localSheetId="56">Paid #REF!</definedName>
    <definedName name="H_Audit" localSheetId="84">Paid #REF!</definedName>
    <definedName name="H_Audit">Paid #REF!</definedName>
    <definedName name="H_Cum_PL" localSheetId="75">Paid #REF!</definedName>
    <definedName name="H_Cum_PL" localSheetId="57">Paid #REF!</definedName>
    <definedName name="H_Cum_PL" localSheetId="74">Paid #REF!</definedName>
    <definedName name="H_Cum_PL" localSheetId="56">Paid #REF!</definedName>
    <definedName name="H_Cum_PL" localSheetId="84">Paid #REF!</definedName>
    <definedName name="H_Cum_PL">Paid #REF!</definedName>
    <definedName name="H_Cum_RL" localSheetId="75">Receipt #REF!</definedName>
    <definedName name="H_Cum_RL" localSheetId="57">Receipt #REF!</definedName>
    <definedName name="H_Cum_RL" localSheetId="74">Receipt #REF!</definedName>
    <definedName name="H_Cum_RL" localSheetId="56">Receipt #REF!</definedName>
    <definedName name="H_Cum_RL" localSheetId="84">Receipt #REF!</definedName>
    <definedName name="H_Cum_RL">Receipt #REF!</definedName>
    <definedName name="H_DIFF" localSheetId="75">CURR MO - PREV #REF!</definedName>
    <definedName name="H_DIFF" localSheetId="57">CURR MO - PREV #REF!</definedName>
    <definedName name="H_DIFF" localSheetId="74">CURR MO - PREV #REF!</definedName>
    <definedName name="H_DIFF" localSheetId="56">CURR MO - PREV #REF!</definedName>
    <definedName name="H_DIFF" localSheetId="84">CURR MO - PREV #REF!</definedName>
    <definedName name="H_DIFF">CURR MO - PREV #REF!</definedName>
    <definedName name="H_Factor_PL" localSheetId="75">Paid #REF!</definedName>
    <definedName name="H_Factor_PL" localSheetId="57">Paid #REF!</definedName>
    <definedName name="H_Factor_PL" localSheetId="74">Paid #REF!</definedName>
    <definedName name="H_Factor_PL" localSheetId="56">Paid #REF!</definedName>
    <definedName name="H_Factor_PL" localSheetId="84">Paid #REF!</definedName>
    <definedName name="H_Factor_PL">Paid #REF!</definedName>
    <definedName name="H_Factor_RL" localSheetId="75">Receipt #REF!</definedName>
    <definedName name="H_Factor_RL" localSheetId="57">Receipt #REF!</definedName>
    <definedName name="H_Factor_RL" localSheetId="74">Receipt #REF!</definedName>
    <definedName name="H_Factor_RL" localSheetId="56">Receipt #REF!</definedName>
    <definedName name="H_Factor_RL" localSheetId="84">Receipt #REF!</definedName>
    <definedName name="H_Factor_RL">Receipt #REF!</definedName>
    <definedName name="H_Incremental_PL" localSheetId="75">Paid #REF!</definedName>
    <definedName name="H_Incremental_PL" localSheetId="57">Paid #REF!</definedName>
    <definedName name="H_Incremental_PL" localSheetId="74">Paid #REF!</definedName>
    <definedName name="H_Incremental_PL" localSheetId="56">Paid #REF!</definedName>
    <definedName name="H_Incremental_PL" localSheetId="84">Paid #REF!</definedName>
    <definedName name="H_Incremental_PL">Paid #REF!</definedName>
    <definedName name="H_Incremental_RL" localSheetId="75">Receipt #REF!</definedName>
    <definedName name="H_Incremental_RL" localSheetId="57">Receipt #REF!</definedName>
    <definedName name="H_Incremental_RL" localSheetId="74">Receipt #REF!</definedName>
    <definedName name="H_Incremental_RL" localSheetId="56">Receipt #REF!</definedName>
    <definedName name="H_Incremental_RL" localSheetId="84">Receipt #REF!</definedName>
    <definedName name="H_Incremental_RL">Receipt #REF!</definedName>
    <definedName name="H_Projection_PL" localSheetId="75">Paid #REF!</definedName>
    <definedName name="H_Projection_PL" localSheetId="57">Paid #REF!</definedName>
    <definedName name="H_Projection_PL" localSheetId="74">Paid #REF!</definedName>
    <definedName name="H_Projection_PL" localSheetId="56">Paid #REF!</definedName>
    <definedName name="H_Projection_PL" localSheetId="84">Paid #REF!</definedName>
    <definedName name="H_Projection_PL">Paid #REF!</definedName>
    <definedName name="H_Projection_RL" localSheetId="75">Receipt #REF!</definedName>
    <definedName name="H_Projection_RL" localSheetId="57">Receipt #REF!</definedName>
    <definedName name="H_Projection_RL" localSheetId="74">Receipt #REF!</definedName>
    <definedName name="H_Projection_RL" localSheetId="56">Receipt #REF!</definedName>
    <definedName name="H_Projection_RL" localSheetId="84">Receipt #REF!</definedName>
    <definedName name="H_Projection_RL">Receipt #REF!</definedName>
    <definedName name="hcitotc" localSheetId="84">#REF!</definedName>
    <definedName name="hcitotc">#REF!</definedName>
    <definedName name="hcitotc3" localSheetId="84">#REF!</definedName>
    <definedName name="hcitotc3">#REF!</definedName>
    <definedName name="hcototc" localSheetId="84">#REF!</definedName>
    <definedName name="hcototc">#REF!</definedName>
    <definedName name="hcototc3" localSheetId="84">#REF!</definedName>
    <definedName name="hcototc3">#REF!</definedName>
    <definedName name="HDHP1">#REF!</definedName>
    <definedName name="HDHP2">#REF!</definedName>
    <definedName name="HDHP3">#REF!</definedName>
    <definedName name="HDHP4">#REF!</definedName>
    <definedName name="HearingChildrenOnly" localSheetId="84">#REF!</definedName>
    <definedName name="HearingChildrenOnly">#REF!</definedName>
    <definedName name="hebtotc" localSheetId="84">#REF!</definedName>
    <definedName name="hebtotc">#REF!</definedName>
    <definedName name="hebtotc3" localSheetId="84">#REF!</definedName>
    <definedName name="hebtotc3">#REF!</definedName>
    <definedName name="HIPCopayPerAdmit" localSheetId="84">#REF!</definedName>
    <definedName name="HIPCopayPerAdmit">#REF!</definedName>
    <definedName name="Hosp_MaxCopay" localSheetId="84">#REF!</definedName>
    <definedName name="Hosp_MaxCopay">#REF!</definedName>
    <definedName name="HospOP_MaxCopay" localSheetId="84">#REF!</definedName>
    <definedName name="HospOP_MaxCopay">#REF!</definedName>
    <definedName name="hsitotc" localSheetId="84">#REF!</definedName>
    <definedName name="hsitotc">#REF!</definedName>
    <definedName name="hsitotc3" localSheetId="84">#REF!</definedName>
    <definedName name="hsitotc3">#REF!</definedName>
    <definedName name="hsototc" localSheetId="84">#REF!</definedName>
    <definedName name="hsototc">#REF!</definedName>
    <definedName name="hsototc3" localSheetId="84">#REF!</definedName>
    <definedName name="hsototc3">#REF!</definedName>
    <definedName name="i_ortho" localSheetId="84">#REF!</definedName>
    <definedName name="i_ortho">#REF!</definedName>
    <definedName name="i_ortho1" localSheetId="84">#REF!</definedName>
    <definedName name="i_ortho1">#REF!</definedName>
    <definedName name="import" localSheetId="84">#REF!</definedName>
    <definedName name="import">#REF!</definedName>
    <definedName name="import2" localSheetId="84">#REF!</definedName>
    <definedName name="import2">#REF!</definedName>
    <definedName name="InChiro">#REF!</definedName>
    <definedName name="IncludeMailOrder" localSheetId="84">#REF!</definedName>
    <definedName name="IncludeMailOrder">#REF!</definedName>
    <definedName name="incurred_months" localSheetId="84">OFFSET(#REF!,0,0,#REF!,1)</definedName>
    <definedName name="incurred_months">OFFSET(#REF!,0,0,#REF!,1)</definedName>
    <definedName name="INDEX2">#REF!</definedName>
    <definedName name="InDME">#REF!</definedName>
    <definedName name="InGlasses">#REF!</definedName>
    <definedName name="InImm">#REF!</definedName>
    <definedName name="InIPAlc">#REF!</definedName>
    <definedName name="InIPPsych">#REF!</definedName>
    <definedName name="InOPMH">#REF!</definedName>
    <definedName name="InOPSA">#REF!</definedName>
    <definedName name="InPhysical">#REF!</definedName>
    <definedName name="InPod">#REF!</definedName>
    <definedName name="input01" localSheetId="84">#REF!</definedName>
    <definedName name="input01">#REF!</definedName>
    <definedName name="input02" localSheetId="84">#REF!</definedName>
    <definedName name="input02">#REF!</definedName>
    <definedName name="input03" localSheetId="84">#REF!</definedName>
    <definedName name="input03">#REF!</definedName>
    <definedName name="input04" localSheetId="84">#REF!</definedName>
    <definedName name="input04">#REF!</definedName>
    <definedName name="input05" localSheetId="84">#REF!</definedName>
    <definedName name="input05">#REF!</definedName>
    <definedName name="input06" localSheetId="84">#REF!</definedName>
    <definedName name="input06">#REF!</definedName>
    <definedName name="input07" localSheetId="84">#REF!</definedName>
    <definedName name="input07">#REF!</definedName>
    <definedName name="input08" localSheetId="84">#REF!</definedName>
    <definedName name="input08">#REF!</definedName>
    <definedName name="input09" localSheetId="84">#REF!</definedName>
    <definedName name="input09">#REF!</definedName>
    <definedName name="input10" localSheetId="84">#REF!</definedName>
    <definedName name="input10">#REF!</definedName>
    <definedName name="input11" localSheetId="84">#REF!</definedName>
    <definedName name="input11">#REF!</definedName>
    <definedName name="input12" localSheetId="84">#REF!</definedName>
    <definedName name="input12">#REF!</definedName>
    <definedName name="input13" localSheetId="84">#REF!</definedName>
    <definedName name="input13">#REF!</definedName>
    <definedName name="input14" localSheetId="84">#REF!</definedName>
    <definedName name="input14">#REF!</definedName>
    <definedName name="input15" localSheetId="84">#REF!</definedName>
    <definedName name="input15">#REF!</definedName>
    <definedName name="input16" localSheetId="84">#REF!</definedName>
    <definedName name="input16">#REF!</definedName>
    <definedName name="input17" localSheetId="84">#REF!</definedName>
    <definedName name="input17">#REF!</definedName>
    <definedName name="input18" localSheetId="84">#REF!</definedName>
    <definedName name="input18">#REF!</definedName>
    <definedName name="input19" localSheetId="84">#REF!</definedName>
    <definedName name="input19">#REF!</definedName>
    <definedName name="input20" localSheetId="84">#REF!</definedName>
    <definedName name="input20">#REF!</definedName>
    <definedName name="InRx">#REF!</definedName>
    <definedName name="insured" localSheetId="84">#REF!</definedName>
    <definedName name="insured">#REF!</definedName>
    <definedName name="IntermediateYear" localSheetId="84">#REF!</definedName>
    <definedName name="IntermediateYear">#REF!</definedName>
    <definedName name="interp_chrg" localSheetId="84">#REF!</definedName>
    <definedName name="interp_chrg">#REF!</definedName>
    <definedName name="interp_chrg1" localSheetId="84">#REF!</definedName>
    <definedName name="interp_chrg1">#REF!</definedName>
    <definedName name="interp_chrg2" localSheetId="84">#REF!</definedName>
    <definedName name="interp_chrg2">#REF!</definedName>
    <definedName name="interp_util" localSheetId="84">#REF!</definedName>
    <definedName name="interp_util">#REF!</definedName>
    <definedName name="interp_util1" localSheetId="84">#REF!</definedName>
    <definedName name="interp_util1">#REF!</definedName>
    <definedName name="interp_util2" localSheetId="84">#REF!</definedName>
    <definedName name="interp_util2">#REF!</definedName>
    <definedName name="inv_Names" localSheetId="84">#REF!</definedName>
    <definedName name="inv_Names">#REF!</definedName>
    <definedName name="inv_OP_Download" localSheetId="84">#REF!</definedName>
    <definedName name="inv_OP_Download">#REF!</definedName>
    <definedName name="Inv_year" localSheetId="84">#REF!</definedName>
    <definedName name="Inv_year">#REF!</definedName>
    <definedName name="InVision">#REF!</definedName>
    <definedName name="InWellBaby">#REF!</definedName>
    <definedName name="iop" localSheetId="84">#REF!</definedName>
    <definedName name="iop">#REF!</definedName>
    <definedName name="IP_FINAL" localSheetId="84">#REF!</definedName>
    <definedName name="IP_FINAL">#REF!</definedName>
    <definedName name="IP_SUMM" localSheetId="84">#REF!</definedName>
    <definedName name="IP_SUMM">#REF!</definedName>
    <definedName name="IPIntensity" localSheetId="84">#REF!</definedName>
    <definedName name="IPIntensity">#REF!</definedName>
    <definedName name="IPReimbAggregate" localSheetId="84">#REF!</definedName>
    <definedName name="IPReimbAggregate">#REF!</definedName>
    <definedName name="IPReimbAggregate_OON" localSheetId="84">#REF!</definedName>
    <definedName name="IPReimbAggregate_OON">#REF!</definedName>
    <definedName name="IPReimbAlc" localSheetId="84">#REF!</definedName>
    <definedName name="IPReimbAlc">#REF!</definedName>
    <definedName name="IPReimbList" localSheetId="84">#REF!</definedName>
    <definedName name="IPReimbList">#REF!</definedName>
    <definedName name="IPReimbList_Agg" localSheetId="84">#REF!</definedName>
    <definedName name="IPReimbList_Agg">#REF!</definedName>
    <definedName name="IPReimbMatdel" localSheetId="84">#REF!</definedName>
    <definedName name="IPReimbMatdel">#REF!</definedName>
    <definedName name="IPReimbMatnon" localSheetId="84">#REF!</definedName>
    <definedName name="IPReimbMatnon">#REF!</definedName>
    <definedName name="IPReimbMedical" localSheetId="84">#REF!</definedName>
    <definedName name="IPReimbMedical">#REF!</definedName>
    <definedName name="IPReimbPsych" localSheetId="84">#REF!</definedName>
    <definedName name="IPReimbPsych">#REF!</definedName>
    <definedName name="IPReimbSNF" localSheetId="84">#REF!</definedName>
    <definedName name="IPReimbSNF">#REF!</definedName>
    <definedName name="IPReimbSurgical" localSheetId="84">#REF!</definedName>
    <definedName name="IPReimbSurgical">#REF!</definedName>
    <definedName name="IPReimbTotal" localSheetId="84">#REF!</definedName>
    <definedName name="IPReimbTotal">#REF!</definedName>
    <definedName name="IPReimbVaries" localSheetId="84">#REF!</definedName>
    <definedName name="IPReimbVaries">#REF!</definedName>
    <definedName name="IPReimbVaries_OON" localSheetId="84">#REF!</definedName>
    <definedName name="IPReimbVaries_OON">#REF!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_THE_SEPARATE_DENTAL_DED_EMBEDDED_OR_NON_EMBEDDED">#REF!</definedName>
    <definedName name="IS_THE_SEPARATE_DENTAL_OOPM_EMBEDDED_OR_NON_EMBEDDED">#REF!</definedName>
    <definedName name="IS_THE_SEPARATE_RX_DED_EMBEDDED_OR_NON_EMBEDDED">#REF!</definedName>
    <definedName name="IS_THE_SEPARATE_RX_OOPM_EMBEDDED_OR_NON_EMBEDDED">#REF!</definedName>
    <definedName name="isNEDD1">#REF!</definedName>
    <definedName name="isNEDD2">#REF!</definedName>
    <definedName name="isNEDD3">#REF!</definedName>
    <definedName name="isNEDD4">#REF!</definedName>
    <definedName name="Keyfield2">#REF!</definedName>
    <definedName name="L_IN_COINS" localSheetId="84">#REF!</definedName>
    <definedName name="L_IN_COINS">#REF!</definedName>
    <definedName name="L_IN_DED" localSheetId="84">#REF!</definedName>
    <definedName name="L_IN_DED">#REF!</definedName>
    <definedName name="L_IN_OOP_MAX" localSheetId="84">#REF!</definedName>
    <definedName name="L_IN_OOP_MAX">#REF!</definedName>
    <definedName name="L_MAC_DISCOUNT" localSheetId="84">#REF!</definedName>
    <definedName name="L_MAC_DISCOUNT">#REF!</definedName>
    <definedName name="L_NEGREIM_RX_DIS" localSheetId="84">#REF!</definedName>
    <definedName name="L_NEGREIM_RX_DIS">#REF!</definedName>
    <definedName name="L_NEGREIM_RX_MARK" localSheetId="84">#REF!</definedName>
    <definedName name="L_NEGREIM_RX_MARK">#REF!</definedName>
    <definedName name="L_NEGREIM_RXGEN_MARK" localSheetId="84">#REF!</definedName>
    <definedName name="L_NEGREIM_RXGEN_MARK">#REF!</definedName>
    <definedName name="L_OON_COINS" localSheetId="84">#REF!</definedName>
    <definedName name="L_OON_COINS">#REF!</definedName>
    <definedName name="L_OON_DED" localSheetId="84">#REF!</definedName>
    <definedName name="L_OON_DED">#REF!</definedName>
    <definedName name="L_OON_OOP_MAX" localSheetId="84">#REF!</definedName>
    <definedName name="L_OON_OOP_MAX">#REF!</definedName>
    <definedName name="LabCapSavings" localSheetId="84">#REF!</definedName>
    <definedName name="LabCapSavings">#REF!</definedName>
    <definedName name="LABEL">#REF!</definedName>
    <definedName name="lagdump" localSheetId="84">#REF!</definedName>
    <definedName name="lagdump">#REF!</definedName>
    <definedName name="last">#REF!</definedName>
    <definedName name="lcu" localSheetId="84">#REF!</definedName>
    <definedName name="lcu">#REF!</definedName>
    <definedName name="LCU_Rates_and_Terms_2007" localSheetId="84">#REF!</definedName>
    <definedName name="LCU_Rates_and_Terms_2007">#REF!</definedName>
    <definedName name="LegalEntityList">#REF!</definedName>
    <definedName name="LensesChildrenOnly" localSheetId="84">#REF!</definedName>
    <definedName name="LensesChildrenOnly">#REF!</definedName>
    <definedName name="LIBBLDG" localSheetId="84">#REF!</definedName>
    <definedName name="LIBBLDG">#REF!</definedName>
    <definedName name="LIBRARY" localSheetId="84">#REF!</definedName>
    <definedName name="LIBRARY">#REF!</definedName>
    <definedName name="list" localSheetId="84">#REF!</definedName>
    <definedName name="list">#REF!</definedName>
    <definedName name="loadcombine" localSheetId="84">#REF!</definedName>
    <definedName name="loadcombine">#REF!</definedName>
    <definedName name="lobtable" localSheetId="84">#REF!</definedName>
    <definedName name="lobtable">#REF!</definedName>
    <definedName name="lobtablen" localSheetId="84">#REF!</definedName>
    <definedName name="lobtablen">#REF!</definedName>
    <definedName name="loose_mgd_chrg" localSheetId="84">#REF!</definedName>
    <definedName name="loose_mgd_chrg">#REF!</definedName>
    <definedName name="loose_mgd_chrg_rel" localSheetId="84">#REF!</definedName>
    <definedName name="loose_mgd_chrg_rel">#REF!</definedName>
    <definedName name="loose_mgd_chrg_rel1" localSheetId="84">#REF!</definedName>
    <definedName name="loose_mgd_chrg_rel1">#REF!</definedName>
    <definedName name="loose_mgd_chrg_rel2" localSheetId="84">#REF!</definedName>
    <definedName name="loose_mgd_chrg_rel2">#REF!</definedName>
    <definedName name="loose_mgd_chrg1" localSheetId="84">#REF!</definedName>
    <definedName name="loose_mgd_chrg1">#REF!</definedName>
    <definedName name="loose_mgd_chrg2" localSheetId="84">#REF!</definedName>
    <definedName name="loose_mgd_chrg2">#REF!</definedName>
    <definedName name="loose_mgd_util" localSheetId="84">#REF!</definedName>
    <definedName name="loose_mgd_util">#REF!</definedName>
    <definedName name="loose_mgd_util_dist" localSheetId="84">#REF!</definedName>
    <definedName name="loose_mgd_util_dist">#REF!</definedName>
    <definedName name="loose_mgd_util_dist1" localSheetId="84">#REF!</definedName>
    <definedName name="loose_mgd_util_dist1">#REF!</definedName>
    <definedName name="loose_mgd_util_dist2" localSheetId="84">#REF!</definedName>
    <definedName name="loose_mgd_util_dist2">#REF!</definedName>
    <definedName name="loose_mgd_util1" localSheetId="84">#REF!</definedName>
    <definedName name="loose_mgd_util1">#REF!</definedName>
    <definedName name="loose_mgd_util2" localSheetId="84">#REF!</definedName>
    <definedName name="loose_mgd_util2">#REF!</definedName>
    <definedName name="m">#REF!</definedName>
    <definedName name="M_Audit" localSheetId="75">Paid #REF!</definedName>
    <definedName name="M_Audit" localSheetId="57">Paid #REF!</definedName>
    <definedName name="M_Audit" localSheetId="74">Paid #REF!</definedName>
    <definedName name="M_Audit" localSheetId="56">Paid #REF!</definedName>
    <definedName name="M_Audit" localSheetId="84">Paid #REF!</definedName>
    <definedName name="M_Audit">Paid #REF!</definedName>
    <definedName name="M_DIFF" localSheetId="75">CURR MO - PREV #REF!</definedName>
    <definedName name="M_DIFF" localSheetId="57">CURR MO - PREV #REF!</definedName>
    <definedName name="M_DIFF" localSheetId="74">CURR MO - PREV #REF!</definedName>
    <definedName name="M_DIFF" localSheetId="56">CURR MO - PREV #REF!</definedName>
    <definedName name="M_DIFF" localSheetId="84">CURR MO - PREV #REF!</definedName>
    <definedName name="M_DIFF">CURR MO - PREV #REF!</definedName>
    <definedName name="M1A" localSheetId="84">#REF!</definedName>
    <definedName name="M1A">#REF!</definedName>
    <definedName name="MA_EPO_CH" localSheetId="84">#REF!</definedName>
    <definedName name="MA_EPO_CH">#REF!</definedName>
    <definedName name="MA_HMO_BB" localSheetId="84">#REF!</definedName>
    <definedName name="MA_HMO_BB">#REF!</definedName>
    <definedName name="MA_HMO_BRONZE" localSheetId="84">#REF!</definedName>
    <definedName name="MA_HMO_BRONZE">#REF!</definedName>
    <definedName name="MA_HMO_FD" localSheetId="84">#REF!</definedName>
    <definedName name="MA_HMO_FD">#REF!</definedName>
    <definedName name="MA_HMO_OTHER" localSheetId="84">#REF!</definedName>
    <definedName name="MA_HMO_OTHER">#REF!</definedName>
    <definedName name="MA_HMO_TNW" localSheetId="84">#REF!</definedName>
    <definedName name="MA_HMO_TNW">#REF!</definedName>
    <definedName name="MA_POS" localSheetId="84">#REF!</definedName>
    <definedName name="MA_POS">#REF!</definedName>
    <definedName name="MA_PPO_BB" localSheetId="84">#REF!</definedName>
    <definedName name="MA_PPO_BB">#REF!</definedName>
    <definedName name="MA_PPO_CH_PLUS" localSheetId="84">#REF!</definedName>
    <definedName name="MA_PPO_CH_PLUS">#REF!</definedName>
    <definedName name="MA_PPO_FD" localSheetId="84">#REF!</definedName>
    <definedName name="MA_PPO_FD">#REF!</definedName>
    <definedName name="MA_PPO_HSA" localSheetId="84">#REF!</definedName>
    <definedName name="MA_PPO_HSA">#REF!</definedName>
    <definedName name="MA_PPO_IND" localSheetId="84">#REF!</definedName>
    <definedName name="MA_PPO_IND">#REF!</definedName>
    <definedName name="MA_PPO_ND" localSheetId="84">#REF!</definedName>
    <definedName name="MA_PPO_ND">#REF!</definedName>
    <definedName name="MA_PPO_Options" localSheetId="84">#REF!</definedName>
    <definedName name="MA_PPO_Options">#REF!</definedName>
    <definedName name="MA_PPO_OTHER" localSheetId="84">#REF!</definedName>
    <definedName name="MA_PPO_OTHER">#REF!</definedName>
    <definedName name="MA_PPO_TNW" localSheetId="84">#REF!</definedName>
    <definedName name="MA_PPO_TNW">#REF!</definedName>
    <definedName name="MAASSOCHMOIH04" localSheetId="84">#REF!</definedName>
    <definedName name="MAASSOCHMOIH04">#REF!</definedName>
    <definedName name="Macro1" localSheetId="84">#REF!</definedName>
    <definedName name="Macro1">#REF!</definedName>
    <definedName name="Macro2" localSheetId="84">#REF!</definedName>
    <definedName name="Macro2">#REF!</definedName>
    <definedName name="Macro3" localSheetId="84">#REF!</definedName>
    <definedName name="Macro3">#REF!</definedName>
    <definedName name="Macro4" localSheetId="84">#REF!</definedName>
    <definedName name="Macro4">#REF!</definedName>
    <definedName name="Macro5" localSheetId="84">#REF!</definedName>
    <definedName name="Macro5">#REF!</definedName>
    <definedName name="Macro6" localSheetId="84">#REF!</definedName>
    <definedName name="Macro6">#REF!</definedName>
    <definedName name="Macro7" localSheetId="84">#REF!</definedName>
    <definedName name="Macro7">#REF!</definedName>
    <definedName name="Macro8" localSheetId="84">#REF!</definedName>
    <definedName name="Macro8">#REF!</definedName>
    <definedName name="Maine_Data_Rolled_Up_by_NEWLCU" localSheetId="84">#REF!</definedName>
    <definedName name="Maine_Data_Rolled_Up_by_NEWLCU">#REF!</definedName>
    <definedName name="MaineNorthTowns">#REF!</definedName>
    <definedName name="ManualClick_3">#REF!</definedName>
    <definedName name="ManualClick_4">#REF!</definedName>
    <definedName name="map" localSheetId="84">#REF!</definedName>
    <definedName name="map">#REF!</definedName>
    <definedName name="MAPMPMVar" localSheetId="84">#REF!</definedName>
    <definedName name="MAPMPMVar">#REF!</definedName>
    <definedName name="MAPMPMVarBE" localSheetId="84">#REF!</definedName>
    <definedName name="MAPMPMVarBE">#REF!</definedName>
    <definedName name="Master_List__COMM_Final_" localSheetId="84">#REF!</definedName>
    <definedName name="Master_List__COMM_Final_">#REF!</definedName>
    <definedName name="MatchCell" localSheetId="84">#REF!</definedName>
    <definedName name="MatchCell">#REF!</definedName>
    <definedName name="MaternityIncrease" localSheetId="84">#REF!</definedName>
    <definedName name="MaternityIncrease">#REF!</definedName>
    <definedName name="MB" localSheetId="84">#REF!</definedName>
    <definedName name="MB">#REF!</definedName>
    <definedName name="MCO_06" localSheetId="84">#REF!</definedName>
    <definedName name="MCO_06">#REF!</definedName>
    <definedName name="MCO_07" localSheetId="84">#REF!</definedName>
    <definedName name="MCO_07">#REF!</definedName>
    <definedName name="MCO_08" localSheetId="84">#REF!</definedName>
    <definedName name="MCO_08">#REF!</definedName>
    <definedName name="MCO_09" localSheetId="84">#REF!</definedName>
    <definedName name="MCO_09">#REF!</definedName>
    <definedName name="MD_Cum_PL" localSheetId="75">Paid #REF!</definedName>
    <definedName name="MD_Cum_PL" localSheetId="57">Paid #REF!</definedName>
    <definedName name="MD_Cum_PL" localSheetId="74">Paid #REF!</definedName>
    <definedName name="MD_Cum_PL" localSheetId="56">Paid #REF!</definedName>
    <definedName name="MD_Cum_PL" localSheetId="84">Paid #REF!</definedName>
    <definedName name="MD_Cum_PL">Paid #REF!</definedName>
    <definedName name="MD_Cum_RL" localSheetId="75">Receipt #REF!</definedName>
    <definedName name="MD_Cum_RL" localSheetId="57">Receipt #REF!</definedName>
    <definedName name="MD_Cum_RL" localSheetId="74">Receipt #REF!</definedName>
    <definedName name="MD_Cum_RL" localSheetId="56">Receipt #REF!</definedName>
    <definedName name="MD_Cum_RL" localSheetId="84">Receipt #REF!</definedName>
    <definedName name="MD_Cum_RL">Receipt #REF!</definedName>
    <definedName name="MD_Factor_PL" localSheetId="75">Paid #REF!</definedName>
    <definedName name="MD_Factor_PL" localSheetId="57">Paid #REF!</definedName>
    <definedName name="MD_Factor_PL" localSheetId="74">Paid #REF!</definedName>
    <definedName name="MD_Factor_PL" localSheetId="56">Paid #REF!</definedName>
    <definedName name="MD_Factor_PL" localSheetId="84">Paid #REF!</definedName>
    <definedName name="MD_Factor_PL">Paid #REF!</definedName>
    <definedName name="MD_Factor_RL" localSheetId="75">Receipt #REF!</definedName>
    <definedName name="MD_Factor_RL" localSheetId="57">Receipt #REF!</definedName>
    <definedName name="MD_Factor_RL" localSheetId="74">Receipt #REF!</definedName>
    <definedName name="MD_Factor_RL" localSheetId="56">Receipt #REF!</definedName>
    <definedName name="MD_Factor_RL" localSheetId="84">Receipt #REF!</definedName>
    <definedName name="MD_Factor_RL">Receipt #REF!</definedName>
    <definedName name="MD_Incr_PL" localSheetId="75">Paid #REF!</definedName>
    <definedName name="MD_Incr_PL" localSheetId="57">Paid #REF!</definedName>
    <definedName name="MD_Incr_PL" localSheetId="74">Paid #REF!</definedName>
    <definedName name="MD_Incr_PL" localSheetId="56">Paid #REF!</definedName>
    <definedName name="MD_Incr_PL" localSheetId="84">Paid #REF!</definedName>
    <definedName name="MD_Incr_PL">Paid #REF!</definedName>
    <definedName name="MD_Incremental_RL" localSheetId="84">#REF!</definedName>
    <definedName name="MD_Incremental_RL">#REF!</definedName>
    <definedName name="MD_Projection_PL" localSheetId="75">Paid #REF!</definedName>
    <definedName name="MD_Projection_PL" localSheetId="57">Paid #REF!</definedName>
    <definedName name="MD_Projection_PL" localSheetId="74">Paid #REF!</definedName>
    <definedName name="MD_Projection_PL" localSheetId="56">Paid #REF!</definedName>
    <definedName name="MD_Projection_PL" localSheetId="84">Paid #REF!</definedName>
    <definedName name="MD_Projection_PL">Paid #REF!</definedName>
    <definedName name="MD_Projection_RL" localSheetId="75">Receipt #REF!</definedName>
    <definedName name="MD_Projection_RL" localSheetId="57">Receipt #REF!</definedName>
    <definedName name="MD_Projection_RL" localSheetId="74">Receipt #REF!</definedName>
    <definedName name="MD_Projection_RL" localSheetId="56">Receipt #REF!</definedName>
    <definedName name="MD_Projection_RL" localSheetId="84">Receipt #REF!</definedName>
    <definedName name="MD_Projection_RL">Receipt #REF!</definedName>
    <definedName name="MDFLAG" localSheetId="84">#REF!</definedName>
    <definedName name="MDFLAG">#REF!</definedName>
    <definedName name="ME" localSheetId="84">#REF!</definedName>
    <definedName name="ME">#REF!</definedName>
    <definedName name="ME_HMO_BB" localSheetId="84">#REF!</definedName>
    <definedName name="ME_HMO_BB">#REF!</definedName>
    <definedName name="ME_HMO_FD" localSheetId="84">#REF!</definedName>
    <definedName name="ME_HMO_FD">#REF!</definedName>
    <definedName name="ME_HMO_OTHER" localSheetId="84">#REF!</definedName>
    <definedName name="ME_HMO_OTHER">#REF!</definedName>
    <definedName name="ME_POS" localSheetId="84">#REF!</definedName>
    <definedName name="ME_POS">#REF!</definedName>
    <definedName name="ME_PPO_BRONZE" localSheetId="84">#REF!</definedName>
    <definedName name="ME_PPO_BRONZE">#REF!</definedName>
    <definedName name="ME_PPO_CH_PLUS" localSheetId="84">#REF!</definedName>
    <definedName name="ME_PPO_CH_PLUS">#REF!</definedName>
    <definedName name="ME_PPO_HSA" localSheetId="84">#REF!</definedName>
    <definedName name="ME_PPO_HSA">#REF!</definedName>
    <definedName name="ME_PPO_IND" localSheetId="84">#REF!</definedName>
    <definedName name="ME_PPO_IND">#REF!</definedName>
    <definedName name="ME_PPO_ND" localSheetId="84">#REF!</definedName>
    <definedName name="ME_PPO_ND">#REF!</definedName>
    <definedName name="ME_PPO_Options" localSheetId="84">#REF!</definedName>
    <definedName name="ME_PPO_Options">#REF!</definedName>
    <definedName name="ME_PPO_OTHER" localSheetId="84">#REF!</definedName>
    <definedName name="ME_PPO_OTHER">#REF!</definedName>
    <definedName name="Medical" localSheetId="84">#REF!</definedName>
    <definedName name="Medical">#REF!</definedName>
    <definedName name="Members">#REF!</definedName>
    <definedName name="Membership_with_Broker_Data" localSheetId="84">#REF!</definedName>
    <definedName name="Membership_with_Broker_Data">#REF!</definedName>
    <definedName name="MEmdcommytd" localSheetId="84">#REF!</definedName>
    <definedName name="MEmdcommytd">#REF!</definedName>
    <definedName name="MEPMPMVar" localSheetId="84">#REF!</definedName>
    <definedName name="MEPMPMVar">#REF!</definedName>
    <definedName name="MEPMPMVarBE" localSheetId="84">#REF!</definedName>
    <definedName name="MEPMPMVarBE">#REF!</definedName>
    <definedName name="Method" localSheetId="84">#REF!</definedName>
    <definedName name="Method">#REF!</definedName>
    <definedName name="Methods">#REF!</definedName>
    <definedName name="MI2017_1" localSheetId="84">#REF!</definedName>
    <definedName name="MI2017_1">#REF!</definedName>
    <definedName name="MI2017_2" localSheetId="84">#REF!</definedName>
    <definedName name="MI2017_2">#REF!</definedName>
    <definedName name="MM" localSheetId="84">#REF!</definedName>
    <definedName name="MM">#REF!</definedName>
    <definedName name="MMFIVE" localSheetId="84">#REF!</definedName>
    <definedName name="MMFIVE">#REF!</definedName>
    <definedName name="MMFOUR" localSheetId="84">#REF!</definedName>
    <definedName name="MMFOUR">#REF!</definedName>
    <definedName name="MMONE" localSheetId="84">#REF!</definedName>
    <definedName name="MMONE">#REF!</definedName>
    <definedName name="MMS">#REF!</definedName>
    <definedName name="MMTHREE" localSheetId="84">#REF!</definedName>
    <definedName name="MMTHREE">#REF!</definedName>
    <definedName name="MMTWO" localSheetId="84">#REF!</definedName>
    <definedName name="MMTWO">#REF!</definedName>
    <definedName name="Model_Flag" localSheetId="84">#REF!</definedName>
    <definedName name="Model_Flag">#REF!</definedName>
    <definedName name="ModelName" localSheetId="75">Paid #REF!</definedName>
    <definedName name="ModelName" localSheetId="57">Paid #REF!</definedName>
    <definedName name="ModelName" localSheetId="74">Paid #REF!</definedName>
    <definedName name="ModelName" localSheetId="56">Paid #REF!</definedName>
    <definedName name="ModelName" localSheetId="84">Paid #REF!</definedName>
    <definedName name="ModelName">Paid #REF!</definedName>
    <definedName name="ModelProjections">#REF!</definedName>
    <definedName name="Months" localSheetId="84">#REF!</definedName>
    <definedName name="Months">#REF!</definedName>
    <definedName name="MSAList1" localSheetId="84">#REF!</definedName>
    <definedName name="MSAList1">#REF!</definedName>
    <definedName name="MSAList2" localSheetId="84">#REF!</definedName>
    <definedName name="MSAList2">#REF!</definedName>
    <definedName name="MSAList3" localSheetId="84">#REF!</definedName>
    <definedName name="MSAList3">#REF!</definedName>
    <definedName name="MSAList4" localSheetId="84">#REF!</definedName>
    <definedName name="MSAList4">#REF!</definedName>
    <definedName name="MSAList5" localSheetId="84">#REF!</definedName>
    <definedName name="MSAList5">#REF!</definedName>
    <definedName name="MSANumber1" localSheetId="84">#REF!</definedName>
    <definedName name="MSANumber1">#REF!</definedName>
    <definedName name="MSANumber2" localSheetId="84">#REF!</definedName>
    <definedName name="MSANumber2">#REF!</definedName>
    <definedName name="MSANumber3" localSheetId="84">#REF!</definedName>
    <definedName name="MSANumber3">#REF!</definedName>
    <definedName name="MSANumber4" localSheetId="84">#REF!</definedName>
    <definedName name="MSANumber4">#REF!</definedName>
    <definedName name="MSANumber5" localSheetId="84">#REF!</definedName>
    <definedName name="MSANumber5">#REF!</definedName>
    <definedName name="MSAValue1" localSheetId="84">#REF!</definedName>
    <definedName name="MSAValue1">#REF!</definedName>
    <definedName name="MSAValue2" localSheetId="84">#REF!</definedName>
    <definedName name="MSAValue2">#REF!</definedName>
    <definedName name="MSAValue3" localSheetId="84">#REF!</definedName>
    <definedName name="MSAValue3">#REF!</definedName>
    <definedName name="MSAValue4" localSheetId="84">#REF!</definedName>
    <definedName name="MSAValue4">#REF!</definedName>
    <definedName name="MSAValue5" localSheetId="84">#REF!</definedName>
    <definedName name="MSAValue5">#REF!</definedName>
    <definedName name="n">#REF!</definedName>
    <definedName name="name1" localSheetId="84">#REF!,#REF!</definedName>
    <definedName name="name1">#REF!,#REF!</definedName>
    <definedName name="NB_Ind">#REF!</definedName>
    <definedName name="NBMMSColOff">#REF!</definedName>
    <definedName name="NBMMSRowOff">#REF!</definedName>
    <definedName name="NBPremColOff">#REF!</definedName>
    <definedName name="NBPremRowOff">#REF!</definedName>
    <definedName name="NBYearMo">#REF!</definedName>
    <definedName name="NC_01" localSheetId="84">#REF!</definedName>
    <definedName name="NC_01">#REF!</definedName>
    <definedName name="NC_Liab" localSheetId="84">#REF!</definedName>
    <definedName name="NC_Liab">#REF!</definedName>
    <definedName name="NC_MHSA" localSheetId="84">#REF!</definedName>
    <definedName name="NC_MHSA">#REF!</definedName>
    <definedName name="NC_Prorate" localSheetId="84">#REF!</definedName>
    <definedName name="NC_Prorate">#REF!</definedName>
    <definedName name="NC_Units" localSheetId="84">#REF!</definedName>
    <definedName name="NC_Units">#REF!</definedName>
    <definedName name="NCnew" localSheetId="84">#REF!</definedName>
    <definedName name="NCnew">#REF!</definedName>
    <definedName name="net_chrg" localSheetId="84">#REF!</definedName>
    <definedName name="net_chrg">#REF!</definedName>
    <definedName name="net_chrg1" localSheetId="84">#REF!</definedName>
    <definedName name="net_chrg1">#REF!</definedName>
    <definedName name="net_chrg2" localSheetId="84">#REF!</definedName>
    <definedName name="net_chrg2">#REF!</definedName>
    <definedName name="net_PMPM" localSheetId="84">#REF!</definedName>
    <definedName name="net_PMPM">#REF!</definedName>
    <definedName name="net_pmpm1" localSheetId="84">#REF!</definedName>
    <definedName name="net_pmpm1">#REF!</definedName>
    <definedName name="net_pmpm2" localSheetId="84">#REF!</definedName>
    <definedName name="net_pmpm2">#REF!</definedName>
    <definedName name="NetCostSheets" localSheetId="84">#REF!</definedName>
    <definedName name="NetCostSheets">#REF!</definedName>
    <definedName name="Network">#REF!</definedName>
    <definedName name="new">#REF!</definedName>
    <definedName name="New123graph" localSheetId="3" hidden="1">#REF!</definedName>
    <definedName name="New123graph" localSheetId="2" hidden="1">#REF!</definedName>
    <definedName name="New123graph" localSheetId="14" hidden="1">#REF!</definedName>
    <definedName name="New123graph" localSheetId="18" hidden="1">#REF!</definedName>
    <definedName name="New123graph" localSheetId="20" hidden="1">#REF!</definedName>
    <definedName name="New123graph" localSheetId="22" hidden="1">#REF!</definedName>
    <definedName name="New123graph" localSheetId="24" hidden="1">#REF!</definedName>
    <definedName name="New123graph" localSheetId="26" hidden="1">#REF!</definedName>
    <definedName name="New123graph" localSheetId="28" hidden="1">#REF!</definedName>
    <definedName name="New123graph" localSheetId="30" hidden="1">#REF!</definedName>
    <definedName name="New123graph" localSheetId="32" hidden="1">#REF!</definedName>
    <definedName name="New123graph" localSheetId="34" hidden="1">#REF!</definedName>
    <definedName name="New123graph" localSheetId="36" hidden="1">#REF!</definedName>
    <definedName name="New123graph" localSheetId="38" hidden="1">#REF!</definedName>
    <definedName name="New123graph" localSheetId="42" hidden="1">#REF!</definedName>
    <definedName name="New123graph" localSheetId="44" hidden="1">#REF!</definedName>
    <definedName name="New123graph" localSheetId="46" hidden="1">#REF!</definedName>
    <definedName name="New123graph" localSheetId="8" hidden="1">#REF!</definedName>
    <definedName name="New123graph" localSheetId="10" hidden="1">#REF!</definedName>
    <definedName name="New123graph" localSheetId="12" hidden="1">#REF!</definedName>
    <definedName name="New123graph" localSheetId="13" hidden="1">#REF!</definedName>
    <definedName name="New123graph" localSheetId="17" hidden="1">#REF!</definedName>
    <definedName name="New123graph" localSheetId="19" hidden="1">#REF!</definedName>
    <definedName name="New123graph" localSheetId="21" hidden="1">#REF!</definedName>
    <definedName name="New123graph" localSheetId="23" hidden="1">#REF!</definedName>
    <definedName name="New123graph" localSheetId="25" hidden="1">#REF!</definedName>
    <definedName name="New123graph" localSheetId="27" hidden="1">#REF!</definedName>
    <definedName name="New123graph" localSheetId="29" hidden="1">#REF!</definedName>
    <definedName name="New123graph" localSheetId="31" hidden="1">#REF!</definedName>
    <definedName name="New123graph" localSheetId="33" hidden="1">#REF!</definedName>
    <definedName name="New123graph" localSheetId="35" hidden="1">#REF!</definedName>
    <definedName name="New123graph" localSheetId="37" hidden="1">#REF!</definedName>
    <definedName name="New123graph" localSheetId="41" hidden="1">#REF!</definedName>
    <definedName name="New123graph" localSheetId="43" hidden="1">#REF!</definedName>
    <definedName name="New123graph" localSheetId="45" hidden="1">#REF!</definedName>
    <definedName name="New123graph" localSheetId="7" hidden="1">#REF!</definedName>
    <definedName name="New123graph" localSheetId="9" hidden="1">#REF!</definedName>
    <definedName name="New123graph" localSheetId="11" hidden="1">#REF!</definedName>
    <definedName name="New123graph" localSheetId="75" hidden="1">#REF!</definedName>
    <definedName name="New123graph" localSheetId="57" hidden="1">#REF!</definedName>
    <definedName name="New123graph" localSheetId="74" hidden="1">#REF!</definedName>
    <definedName name="New123graph" localSheetId="56" hidden="1">#REF!</definedName>
    <definedName name="New123graph" localSheetId="85" hidden="1">#REF!</definedName>
    <definedName name="New123graph" localSheetId="87" hidden="1">#REF!</definedName>
    <definedName name="New123graph" localSheetId="83" hidden="1">#REF!</definedName>
    <definedName name="New123graph" localSheetId="84" hidden="1">#REF!</definedName>
    <definedName name="New123graph" localSheetId="86" hidden="1">#REF!</definedName>
    <definedName name="New123graph" hidden="1">#REF!</definedName>
    <definedName name="newrange" localSheetId="3" hidden="1">#REF!</definedName>
    <definedName name="newrange" localSheetId="2" hidden="1">#REF!</definedName>
    <definedName name="newrange" localSheetId="14" hidden="1">#REF!</definedName>
    <definedName name="newrange" localSheetId="18" hidden="1">#REF!</definedName>
    <definedName name="newrange" localSheetId="20" hidden="1">#REF!</definedName>
    <definedName name="newrange" localSheetId="22" hidden="1">#REF!</definedName>
    <definedName name="newrange" localSheetId="24" hidden="1">#REF!</definedName>
    <definedName name="newrange" localSheetId="26" hidden="1">#REF!</definedName>
    <definedName name="newrange" localSheetId="28" hidden="1">#REF!</definedName>
    <definedName name="newrange" localSheetId="30" hidden="1">#REF!</definedName>
    <definedName name="newrange" localSheetId="32" hidden="1">#REF!</definedName>
    <definedName name="newrange" localSheetId="34" hidden="1">#REF!</definedName>
    <definedName name="newrange" localSheetId="36" hidden="1">#REF!</definedName>
    <definedName name="newrange" localSheetId="38" hidden="1">#REF!</definedName>
    <definedName name="newrange" localSheetId="42" hidden="1">#REF!</definedName>
    <definedName name="newrange" localSheetId="44" hidden="1">#REF!</definedName>
    <definedName name="newrange" localSheetId="46" hidden="1">#REF!</definedName>
    <definedName name="newrange" localSheetId="8" hidden="1">#REF!</definedName>
    <definedName name="newrange" localSheetId="10" hidden="1">#REF!</definedName>
    <definedName name="newrange" localSheetId="12" hidden="1">#REF!</definedName>
    <definedName name="newrange" localSheetId="13" hidden="1">#REF!</definedName>
    <definedName name="newrange" localSheetId="17" hidden="1">#REF!</definedName>
    <definedName name="newrange" localSheetId="19" hidden="1">#REF!</definedName>
    <definedName name="newrange" localSheetId="21" hidden="1">#REF!</definedName>
    <definedName name="newrange" localSheetId="23" hidden="1">#REF!</definedName>
    <definedName name="newrange" localSheetId="25" hidden="1">#REF!</definedName>
    <definedName name="newrange" localSheetId="27" hidden="1">#REF!</definedName>
    <definedName name="newrange" localSheetId="29" hidden="1">#REF!</definedName>
    <definedName name="newrange" localSheetId="31" hidden="1">#REF!</definedName>
    <definedName name="newrange" localSheetId="33" hidden="1">#REF!</definedName>
    <definedName name="newrange" localSheetId="35" hidden="1">#REF!</definedName>
    <definedName name="newrange" localSheetId="37" hidden="1">#REF!</definedName>
    <definedName name="newrange" localSheetId="41" hidden="1">#REF!</definedName>
    <definedName name="newrange" localSheetId="43" hidden="1">#REF!</definedName>
    <definedName name="newrange" localSheetId="45" hidden="1">#REF!</definedName>
    <definedName name="newrange" localSheetId="7" hidden="1">#REF!</definedName>
    <definedName name="newrange" localSheetId="9" hidden="1">#REF!</definedName>
    <definedName name="newrange" localSheetId="11" hidden="1">#REF!</definedName>
    <definedName name="newrange" localSheetId="75" hidden="1">#REF!</definedName>
    <definedName name="newrange" localSheetId="57" hidden="1">#REF!</definedName>
    <definedName name="newrange" localSheetId="74" hidden="1">#REF!</definedName>
    <definedName name="newrange" localSheetId="56" hidden="1">#REF!</definedName>
    <definedName name="newrange" localSheetId="85" hidden="1">#REF!</definedName>
    <definedName name="newrange" localSheetId="87" hidden="1">#REF!</definedName>
    <definedName name="newrange" localSheetId="83" hidden="1">#REF!</definedName>
    <definedName name="newrange" localSheetId="84" hidden="1">#REF!</definedName>
    <definedName name="newrange" localSheetId="86" hidden="1">#REF!</definedName>
    <definedName name="newrange" hidden="1">#REF!</definedName>
    <definedName name="NH_HMO_BB" localSheetId="84">#REF!</definedName>
    <definedName name="NH_HMO_BB">#REF!</definedName>
    <definedName name="NH_HMO_BRONZE" localSheetId="84">#REF!</definedName>
    <definedName name="NH_HMO_BRONZE">#REF!</definedName>
    <definedName name="NH_HMO_FD" localSheetId="84">#REF!</definedName>
    <definedName name="NH_HMO_FD">#REF!</definedName>
    <definedName name="NH_HMO_OTHER" localSheetId="84">#REF!</definedName>
    <definedName name="NH_HMO_OTHER">#REF!</definedName>
    <definedName name="NH_HMO_TNW" localSheetId="84">#REF!</definedName>
    <definedName name="NH_HMO_TNW">#REF!</definedName>
    <definedName name="NH_POS" localSheetId="84">#REF!</definedName>
    <definedName name="NH_POS">#REF!</definedName>
    <definedName name="NH_PPO_BB" localSheetId="84">#REF!</definedName>
    <definedName name="NH_PPO_BB">#REF!</definedName>
    <definedName name="NH_PPO_CH_PLUS" localSheetId="84">#REF!</definedName>
    <definedName name="NH_PPO_CH_PLUS">#REF!</definedName>
    <definedName name="NH_PPO_FD" localSheetId="84">#REF!</definedName>
    <definedName name="NH_PPO_FD">#REF!</definedName>
    <definedName name="NH_PPO_HSA" localSheetId="84">#REF!</definedName>
    <definedName name="NH_PPO_HSA">#REF!</definedName>
    <definedName name="NH_PPO_Options" localSheetId="84">#REF!</definedName>
    <definedName name="NH_PPO_Options">#REF!</definedName>
    <definedName name="NH_PPO_OTHER" localSheetId="84">#REF!</definedName>
    <definedName name="NH_PPO_OTHER">#REF!</definedName>
    <definedName name="NH_PPO_TNW" localSheetId="84">#REF!</definedName>
    <definedName name="NH_PPO_TNW">#REF!</definedName>
    <definedName name="NHBOC" localSheetId="84">#REF!</definedName>
    <definedName name="NHBOC">#REF!</definedName>
    <definedName name="NHCityLookup">#REF!</definedName>
    <definedName name="NHPMPMVar" localSheetId="84">#REF!</definedName>
    <definedName name="NHPMPMVar">#REF!</definedName>
    <definedName name="NHPMPMVarBE" localSheetId="84">#REF!</definedName>
    <definedName name="NHPMPMVarBE">#REF!</definedName>
    <definedName name="NHTerritories">#REF!</definedName>
    <definedName name="nn" localSheetId="84">#REF!</definedName>
    <definedName name="nn">#REF!</definedName>
    <definedName name="NONG4AgeSexChange" localSheetId="84">#REF!</definedName>
    <definedName name="NONG4AgeSexChange">#REF!</definedName>
    <definedName name="NONG4AllClaimsSummary" localSheetId="84">#REF!</definedName>
    <definedName name="NONG4AllClaimsSummary">#REF!</definedName>
    <definedName name="NONG4AllTrendsSummary" localSheetId="84">#REF!</definedName>
    <definedName name="NONG4AllTrendsSummary">#REF!</definedName>
    <definedName name="NONG4BeginPrintClaimsSumm" localSheetId="84">#REF!</definedName>
    <definedName name="NONG4BeginPrintClaimsSumm">#REF!</definedName>
    <definedName name="NONG4BenefitAdj" localSheetId="84">#REF!</definedName>
    <definedName name="NONG4BenefitAdj">#REF!</definedName>
    <definedName name="NONG4ConversionFactorCalc" localSheetId="84">#REF!</definedName>
    <definedName name="NONG4ConversionFactorCalc">#REF!</definedName>
    <definedName name="NONG4ERFLimitConversionDetails" localSheetId="84">#REF!</definedName>
    <definedName name="NONG4ERFLimitConversionDetails">#REF!</definedName>
    <definedName name="NONG4FirstOldData" localSheetId="84">#REF!</definedName>
    <definedName name="NONG4FirstOldData">#REF!</definedName>
    <definedName name="NONG4FirstOldTrend" localSheetId="84">#REF!</definedName>
    <definedName name="NONG4FirstOldTrend">#REF!</definedName>
    <definedName name="NONG4LossRatio" localSheetId="84">#REF!</definedName>
    <definedName name="NONG4LossRatio">#REF!</definedName>
    <definedName name="NONG4Page1End" localSheetId="84">#REF!</definedName>
    <definedName name="NONG4Page1End">#REF!</definedName>
    <definedName name="NONG4Page1Header" localSheetId="84">#REF!</definedName>
    <definedName name="NONG4Page1Header">#REF!</definedName>
    <definedName name="NONG4Page2Begin" localSheetId="84">#REF!</definedName>
    <definedName name="NONG4Page2Begin">#REF!</definedName>
    <definedName name="NONG4Page2ContractTotalArea" localSheetId="84">#REF!</definedName>
    <definedName name="NONG4Page2ContractTotalArea">#REF!</definedName>
    <definedName name="NONG4Page2End" localSheetId="84">#REF!</definedName>
    <definedName name="NONG4Page2End">#REF!</definedName>
    <definedName name="NONG4Page2Header" localSheetId="84">#REF!</definedName>
    <definedName name="NONG4Page2Header">#REF!</definedName>
    <definedName name="NONG4Page2Products1" localSheetId="84">#REF!</definedName>
    <definedName name="NONG4Page2Products1">#REF!</definedName>
    <definedName name="NONG4Page2Products2" localSheetId="84">#REF!</definedName>
    <definedName name="NONG4Page2Products2">#REF!</definedName>
    <definedName name="NONG4Page2Products3" localSheetId="84">#REF!</definedName>
    <definedName name="NONG4Page2Products3">#REF!</definedName>
    <definedName name="NONG4Premium" localSheetId="84">#REF!</definedName>
    <definedName name="NONG4Premium">#REF!</definedName>
    <definedName name="NONG4PrintAgeSex" localSheetId="84">#REF!</definedName>
    <definedName name="NONG4PrintAgeSex">#REF!</definedName>
    <definedName name="NONG4PrintDataHeader" localSheetId="84">#REF!</definedName>
    <definedName name="NONG4PrintDataHeader">#REF!</definedName>
    <definedName name="NONG4Prod1NewInd" localSheetId="84">#REF!</definedName>
    <definedName name="NONG4Prod1NewInd">#REF!</definedName>
    <definedName name="NONG4Prod1OldInd" localSheetId="84">#REF!</definedName>
    <definedName name="NONG4Prod1OldInd">#REF!</definedName>
    <definedName name="NONG4Prod2NewInd" localSheetId="84">#REF!</definedName>
    <definedName name="NONG4Prod2NewInd">#REF!</definedName>
    <definedName name="NONG4Prod2OldInd" localSheetId="84">#REF!</definedName>
    <definedName name="NONG4Prod2OldInd">#REF!</definedName>
    <definedName name="NONG4Prod3NewInd" localSheetId="84">#REF!</definedName>
    <definedName name="NONG4Prod3NewInd">#REF!</definedName>
    <definedName name="NONG4Prod3OldInd" localSheetId="84">#REF!</definedName>
    <definedName name="NONG4Prod3OldInd">#REF!</definedName>
    <definedName name="NONG4Prod4NewInd" localSheetId="84">#REF!</definedName>
    <definedName name="NONG4Prod4NewInd">#REF!</definedName>
    <definedName name="NONG4Prod4OldInd" localSheetId="84">#REF!</definedName>
    <definedName name="NONG4Prod4OldInd">#REF!</definedName>
    <definedName name="NONG4WorkingPrintAreaBegin" localSheetId="84">#REF!</definedName>
    <definedName name="NONG4WorkingPrintAreaBegin">#REF!</definedName>
    <definedName name="now">#REF!</definedName>
    <definedName name="Number_A" localSheetId="84">#REF!</definedName>
    <definedName name="Number_A">#REF!</definedName>
    <definedName name="NumberofAreas" localSheetId="84">#REF!</definedName>
    <definedName name="NumberofAreas">#REF!</definedName>
    <definedName name="OBSdwnldFSEN" localSheetId="84">#REF!</definedName>
    <definedName name="OBSdwnldFSEN">#REF!</definedName>
    <definedName name="Old" localSheetId="84">#REF!</definedName>
    <definedName name="Old">#REF!</definedName>
    <definedName name="oo" localSheetId="84">#REF!</definedName>
    <definedName name="oo">#REF!</definedName>
    <definedName name="oojop" localSheetId="84">#REF!</definedName>
    <definedName name="oojop">#REF!</definedName>
    <definedName name="OON_SUMMARY" localSheetId="84">#REF!</definedName>
    <definedName name="OON_SUMMARY">#REF!</definedName>
    <definedName name="OON_SUMMDOC1" localSheetId="84">#REF!</definedName>
    <definedName name="OON_SUMMDOC1">#REF!</definedName>
    <definedName name="OON_SUMMDOC2" localSheetId="84">#REF!</definedName>
    <definedName name="OON_SUMMDOC2">#REF!</definedName>
    <definedName name="OP_SUMM2" localSheetId="84">#REF!</definedName>
    <definedName name="OP_SUMM2">#REF!</definedName>
    <definedName name="OP_SUMMARY" localSheetId="84">#REF!</definedName>
    <definedName name="OP_SUMMARY">#REF!</definedName>
    <definedName name="Op_svcflg_test" localSheetId="84">#REF!</definedName>
    <definedName name="Op_svcflg_test">#REF!</definedName>
    <definedName name="OPLYear" localSheetId="84">#REF!</definedName>
    <definedName name="OPLYear">#REF!</definedName>
    <definedName name="OPReimbCardio" localSheetId="84">#REF!</definedName>
    <definedName name="OPReimbCardio">#REF!</definedName>
    <definedName name="OPReimbER" localSheetId="84">#REF!</definedName>
    <definedName name="OPReimbER">#REF!</definedName>
    <definedName name="OPReimbList" localSheetId="84">#REF!</definedName>
    <definedName name="OPReimbList">#REF!</definedName>
    <definedName name="OPReimbListSurg" localSheetId="84">#REF!</definedName>
    <definedName name="OPReimbListSurg">#REF!</definedName>
    <definedName name="OPReimbMaternity" localSheetId="84">#REF!</definedName>
    <definedName name="OPReimbMaternity">#REF!</definedName>
    <definedName name="OPReimbOther" localSheetId="84">#REF!</definedName>
    <definedName name="OPReimbOther">#REF!</definedName>
    <definedName name="OPReimbPath" localSheetId="84">#REF!</definedName>
    <definedName name="OPReimbPath">#REF!</definedName>
    <definedName name="OPReimbPharmacy" localSheetId="84">#REF!</definedName>
    <definedName name="OPReimbPharmacy">#REF!</definedName>
    <definedName name="OPReimbPT" localSheetId="84">#REF!</definedName>
    <definedName name="OPReimbPT">#REF!</definedName>
    <definedName name="OPReimbRad" localSheetId="84">#REF!</definedName>
    <definedName name="OPReimbRad">#REF!</definedName>
    <definedName name="OPReimbSurgery" localSheetId="84">#REF!</definedName>
    <definedName name="OPReimbSurgery">#REF!</definedName>
    <definedName name="OPSurgManaged" localSheetId="84">#REF!</definedName>
    <definedName name="OPSurgManaged">#REF!</definedName>
    <definedName name="orig_data_1" localSheetId="84">OFFSET(#REF!,0,0,#REF!,1)</definedName>
    <definedName name="orig_data_1">OFFSET(#REF!,0,0,#REF!,1)</definedName>
    <definedName name="orig_data_2" localSheetId="84">OFFSET(#REF!,0,0,#REF!,1)</definedName>
    <definedName name="orig_data_2">OFFSET(#REF!,0,0,#REF!,1)</definedName>
    <definedName name="orig_data_inc_mnth" localSheetId="84">OFFSET(#REF!,0,0,#REF!,1)</definedName>
    <definedName name="orig_data_inc_mnth">OFFSET(#REF!,0,0,#REF!,1)</definedName>
    <definedName name="OtherReimbAmb" localSheetId="84">#REF!</definedName>
    <definedName name="OtherReimbAmb">#REF!</definedName>
    <definedName name="OtherReimbDME" localSheetId="84">#REF!</definedName>
    <definedName name="OtherReimbDME">#REF!</definedName>
    <definedName name="OtherReimbGlasses" localSheetId="84">#REF!</definedName>
    <definedName name="OtherReimbGlasses">#REF!</definedName>
    <definedName name="OtherReimbHH" localSheetId="84">#REF!</definedName>
    <definedName name="OtherReimbHH">#REF!</definedName>
    <definedName name="OtherReimbPros" localSheetId="84">#REF!</definedName>
    <definedName name="OtherReimbPros">#REF!</definedName>
    <definedName name="OV_CPDS" localSheetId="84">#REF!</definedName>
    <definedName name="OV_CPDS">#REF!</definedName>
    <definedName name="PAGE6" localSheetId="84">#REF!</definedName>
    <definedName name="PAGE6">#REF!</definedName>
    <definedName name="Page6a" localSheetId="84">#REF!</definedName>
    <definedName name="Page6a">#REF!</definedName>
    <definedName name="PaidSeasonality">#REF!</definedName>
    <definedName name="PaperRxSubmission" localSheetId="84">#REF!</definedName>
    <definedName name="PaperRxSubmission">#REF!</definedName>
    <definedName name="payroll" localSheetId="84">#REF!</definedName>
    <definedName name="payroll">#REF!</definedName>
    <definedName name="PGH" localSheetId="84">#REF!</definedName>
    <definedName name="PGH">#REF!</definedName>
    <definedName name="PGI" localSheetId="84">#REF!</definedName>
    <definedName name="PGI">#REF!</definedName>
    <definedName name="PHYS_SUMM" localSheetId="84">#REF!</definedName>
    <definedName name="PHYS_SUMM">#REF!</definedName>
    <definedName name="PhysReimbDiscount" localSheetId="84">#REF!</definedName>
    <definedName name="PhysReimbDiscount">#REF!</definedName>
    <definedName name="PhysReimbPercentile" localSheetId="84">#REF!</definedName>
    <definedName name="PhysReimbPercentile">#REF!</definedName>
    <definedName name="PhysReimbRBRVS" localSheetId="84">#REF!</definedName>
    <definedName name="PhysReimbRBRVS">#REF!</definedName>
    <definedName name="PHYSREPRICE07" localSheetId="84">#REF!</definedName>
    <definedName name="PHYSREPRICE07">#REF!</definedName>
    <definedName name="PIPA" localSheetId="84">#REF!</definedName>
    <definedName name="PIPA">#REF!</definedName>
    <definedName name="Plan_Flag" localSheetId="84">#REF!</definedName>
    <definedName name="Plan_Flag">#REF!</definedName>
    <definedName name="PlanChoices" localSheetId="84">#REF!</definedName>
    <definedName name="PlanChoices">#REF!</definedName>
    <definedName name="PlanID3">#REF!</definedName>
    <definedName name="PlanID4">#REF!</definedName>
    <definedName name="PlanInput">#REF!</definedName>
    <definedName name="PM">#REF!</definedName>
    <definedName name="PMPM_analysis" localSheetId="75">PMPM #REF!</definedName>
    <definedName name="PMPM_analysis" localSheetId="57">PMPM #REF!</definedName>
    <definedName name="PMPM_analysis" localSheetId="74">PMPM #REF!</definedName>
    <definedName name="PMPM_analysis" localSheetId="56">PMPM #REF!</definedName>
    <definedName name="PMPM_analysis" localSheetId="84">PMPM #REF!</definedName>
    <definedName name="PMPM_analysis">PMPM #REF!</definedName>
    <definedName name="PMPMMED">#REF!</definedName>
    <definedName name="PMPMRX">#REF!</definedName>
    <definedName name="po" localSheetId="84">#REF!</definedName>
    <definedName name="po">#REF!</definedName>
    <definedName name="PodiatryGate" localSheetId="84">#REF!</definedName>
    <definedName name="PodiatryGate">#REF!</definedName>
    <definedName name="POS_CLAIM_COST" localSheetId="84">#REF!</definedName>
    <definedName name="POS_CLAIM_COST">#REF!</definedName>
    <definedName name="POSPlan" localSheetId="84">#REF!</definedName>
    <definedName name="POSPlan">#REF!</definedName>
    <definedName name="ppc" localSheetId="84">#REF!</definedName>
    <definedName name="ppc">#REF!</definedName>
    <definedName name="Prem">#REF!</definedName>
    <definedName name="premium" localSheetId="84">#REF!</definedName>
    <definedName name="premium">#REF!</definedName>
    <definedName name="prevDualRates1">#REF!</definedName>
    <definedName name="prevDualRates2">#REF!</definedName>
    <definedName name="prevEKRates1">#REF!</definedName>
    <definedName name="prevEKRates2">#REF!</definedName>
    <definedName name="prevFamRates1">#REF!</definedName>
    <definedName name="prevFamRates2">#REF!</definedName>
    <definedName name="prevIndRates1">#REF!</definedName>
    <definedName name="prevIndRates2">#REF!</definedName>
    <definedName name="PricingKey">#REF!</definedName>
    <definedName name="PricingSummary">#REF!</definedName>
    <definedName name="_xlnm.Print_Area" localSheetId="75">UCL #REF!</definedName>
    <definedName name="_xlnm.Print_Area" localSheetId="57">UCL #REF!</definedName>
    <definedName name="_xlnm.Print_Area" localSheetId="74">UCL #REF!</definedName>
    <definedName name="_xlnm.Print_Area" localSheetId="56">UCL #REF!</definedName>
    <definedName name="_xlnm.Print_Area" localSheetId="84">UCL #REF!</definedName>
    <definedName name="_xlnm.Print_Area">UCL #REF!</definedName>
    <definedName name="Print_Area_MI" localSheetId="84">#REF!</definedName>
    <definedName name="Print_Area_MI">#REF!</definedName>
    <definedName name="Print_Titles_MI" localSheetId="84">#REF!</definedName>
    <definedName name="Print_Titles_MI">#REF!</definedName>
    <definedName name="print1" localSheetId="84">#REF!</definedName>
    <definedName name="print1">#REF!</definedName>
    <definedName name="PrintCPD" localSheetId="84">#REF!</definedName>
    <definedName name="PrintCPD">#REF!</definedName>
    <definedName name="Priority" localSheetId="84">#REF!</definedName>
    <definedName name="Priority">#REF!</definedName>
    <definedName name="proc" localSheetId="84">#REF!</definedName>
    <definedName name="proc">#REF!</definedName>
    <definedName name="Prod">#REF!</definedName>
    <definedName name="ProdList">#REF!</definedName>
    <definedName name="prodtype3">#REF!</definedName>
    <definedName name="prodtype4">#REF!</definedName>
    <definedName name="product" localSheetId="84">#REF!</definedName>
    <definedName name="product">#REF!</definedName>
    <definedName name="PROJECTIONBYTREATGROUP" localSheetId="84">#REF!</definedName>
    <definedName name="PROJECTIONBYTREATGROUP">#REF!</definedName>
    <definedName name="ProjectionMonths" localSheetId="84">#REF!</definedName>
    <definedName name="ProjectionMonths">#REF!</definedName>
    <definedName name="ProjectionYear" localSheetId="84">#REF!</definedName>
    <definedName name="ProjectionYear">#REF!</definedName>
    <definedName name="PROVIDER_INFLATORS" localSheetId="84">#REF!</definedName>
    <definedName name="PROVIDER_INFLATORS">#REF!</definedName>
    <definedName name="PsychGate" localSheetId="84">#REF!</definedName>
    <definedName name="PsychGate">#REF!</definedName>
    <definedName name="PTax" localSheetId="84">#REF!</definedName>
    <definedName name="PTax">#REF!</definedName>
    <definedName name="Ptype">#REF!</definedName>
    <definedName name="PYTable">#REF!</definedName>
    <definedName name="q">#REF!</definedName>
    <definedName name="QC_TABLE" localSheetId="84">#REF!</definedName>
    <definedName name="QC_TABLE">#REF!</definedName>
    <definedName name="qqq" localSheetId="84">#REF!</definedName>
    <definedName name="qqq">#REF!</definedName>
    <definedName name="qryRenee" localSheetId="84">#REF!</definedName>
    <definedName name="qryRenee">#REF!</definedName>
    <definedName name="QryRenewalLossRatioInfoExcel" localSheetId="84">#REF!</definedName>
    <definedName name="QryRenewalLossRatioInfoExcel">#REF!</definedName>
    <definedName name="Quarter" localSheetId="84">#REF!</definedName>
    <definedName name="Quarter">#REF!</definedName>
    <definedName name="Quarter1" localSheetId="84">#REF!</definedName>
    <definedName name="Quarter1">#REF!</definedName>
    <definedName name="qwe" localSheetId="3" hidden="1">#REF!</definedName>
    <definedName name="qwe" localSheetId="2" hidden="1">#REF!</definedName>
    <definedName name="qwe" localSheetId="14" hidden="1">#REF!</definedName>
    <definedName name="qwe" localSheetId="18" hidden="1">#REF!</definedName>
    <definedName name="qwe" localSheetId="20" hidden="1">#REF!</definedName>
    <definedName name="qwe" localSheetId="22" hidden="1">#REF!</definedName>
    <definedName name="qwe" localSheetId="24" hidden="1">#REF!</definedName>
    <definedName name="qwe" localSheetId="26" hidden="1">#REF!</definedName>
    <definedName name="qwe" localSheetId="28" hidden="1">#REF!</definedName>
    <definedName name="qwe" localSheetId="30" hidden="1">#REF!</definedName>
    <definedName name="qwe" localSheetId="32" hidden="1">#REF!</definedName>
    <definedName name="qwe" localSheetId="34" hidden="1">#REF!</definedName>
    <definedName name="qwe" localSheetId="36" hidden="1">#REF!</definedName>
    <definedName name="qwe" localSheetId="38" hidden="1">#REF!</definedName>
    <definedName name="qwe" localSheetId="42" hidden="1">#REF!</definedName>
    <definedName name="qwe" localSheetId="44" hidden="1">#REF!</definedName>
    <definedName name="qwe" localSheetId="46" hidden="1">#REF!</definedName>
    <definedName name="qwe" localSheetId="8" hidden="1">#REF!</definedName>
    <definedName name="qwe" localSheetId="10" hidden="1">#REF!</definedName>
    <definedName name="qwe" localSheetId="12" hidden="1">#REF!</definedName>
    <definedName name="qwe" localSheetId="13" hidden="1">#REF!</definedName>
    <definedName name="qwe" localSheetId="17" hidden="1">#REF!</definedName>
    <definedName name="qwe" localSheetId="19" hidden="1">#REF!</definedName>
    <definedName name="qwe" localSheetId="21" hidden="1">#REF!</definedName>
    <definedName name="qwe" localSheetId="23" hidden="1">#REF!</definedName>
    <definedName name="qwe" localSheetId="25" hidden="1">#REF!</definedName>
    <definedName name="qwe" localSheetId="27" hidden="1">#REF!</definedName>
    <definedName name="qwe" localSheetId="29" hidden="1">#REF!</definedName>
    <definedName name="qwe" localSheetId="31" hidden="1">#REF!</definedName>
    <definedName name="qwe" localSheetId="33" hidden="1">#REF!</definedName>
    <definedName name="qwe" localSheetId="35" hidden="1">#REF!</definedName>
    <definedName name="qwe" localSheetId="37" hidden="1">#REF!</definedName>
    <definedName name="qwe" localSheetId="41" hidden="1">#REF!</definedName>
    <definedName name="qwe" localSheetId="43" hidden="1">#REF!</definedName>
    <definedName name="qwe" localSheetId="45" hidden="1">#REF!</definedName>
    <definedName name="qwe" localSheetId="7" hidden="1">#REF!</definedName>
    <definedName name="qwe" localSheetId="9" hidden="1">#REF!</definedName>
    <definedName name="qwe" localSheetId="11" hidden="1">#REF!</definedName>
    <definedName name="qwe" localSheetId="75" hidden="1">#REF!</definedName>
    <definedName name="qwe" localSheetId="57" hidden="1">#REF!</definedName>
    <definedName name="qwe" localSheetId="74" hidden="1">#REF!</definedName>
    <definedName name="qwe" localSheetId="56" hidden="1">#REF!</definedName>
    <definedName name="qwe" localSheetId="85" hidden="1">#REF!</definedName>
    <definedName name="qwe" localSheetId="87" hidden="1">#REF!</definedName>
    <definedName name="qwe" localSheetId="83" hidden="1">#REF!</definedName>
    <definedName name="qwe" localSheetId="84" hidden="1">#REF!</definedName>
    <definedName name="qwe" localSheetId="86" hidden="1">#REF!</definedName>
    <definedName name="qwe" hidden="1">#REF!</definedName>
    <definedName name="qweq" localSheetId="84">#REF!</definedName>
    <definedName name="qweq">#REF!</definedName>
    <definedName name="qweqwe" localSheetId="84">#REF!</definedName>
    <definedName name="qweqwe">#REF!</definedName>
    <definedName name="RA">#REF!</definedName>
    <definedName name="range_stmt" localSheetId="84">OFFSET(#REF!,#REF!+10,0,36-(#REF!+10),1)</definedName>
    <definedName name="range_stmt">OFFSET(#REF!,#REF!+10,0,36-(#REF!+10),1)</definedName>
    <definedName name="range_valuation" localSheetId="84">OFFSET(#REF!,#REF!+10+#REF!-1,0,36-(#REF!+10+#REF!-1),1)</definedName>
    <definedName name="range_valuation">OFFSET(#REF!,#REF!+10+#REF!-1,0,36-(#REF!+10+#REF!-1),1)</definedName>
    <definedName name="RateYear" localSheetId="84">#REF!</definedName>
    <definedName name="RateYear">#REF!</definedName>
    <definedName name="rating" localSheetId="84">#REF!</definedName>
    <definedName name="rating">#REF!</definedName>
    <definedName name="RBRVSFeeSched" localSheetId="84">#REF!</definedName>
    <definedName name="RBRVSFeeSched">#REF!</definedName>
    <definedName name="RBRVSInputCFs" localSheetId="84">#REF!</definedName>
    <definedName name="RBRVSInputCFs">#REF!</definedName>
    <definedName name="RBRVSMultiple" localSheetId="84">#REF!</definedName>
    <definedName name="RBRVSMultiple">#REF!</definedName>
    <definedName name="Recover" localSheetId="84">#REF!</definedName>
    <definedName name="Recover">#REF!</definedName>
    <definedName name="RegionList" localSheetId="84">#REF!</definedName>
    <definedName name="RegionList">#REF!</definedName>
    <definedName name="RegionNumber" localSheetId="84">#REF!</definedName>
    <definedName name="RegionNumber">#REF!</definedName>
    <definedName name="RegionValue" localSheetId="84">#REF!</definedName>
    <definedName name="RegionValue">#REF!</definedName>
    <definedName name="RequestedTier">#REF!</definedName>
    <definedName name="ReservePMPM" localSheetId="84">#REF!</definedName>
    <definedName name="ReservePMPM">#REF!</definedName>
    <definedName name="ReservePMPMBE" localSheetId="84">#REF!</definedName>
    <definedName name="ReservePMPMBE">#REF!</definedName>
    <definedName name="reten_ppo_asc" localSheetId="84">#REF!</definedName>
    <definedName name="reten_ppo_asc">#REF!</definedName>
    <definedName name="reten_ppo_ins" localSheetId="84">#REF!</definedName>
    <definedName name="reten_ppo_ins">#REF!</definedName>
    <definedName name="reten_std_asc" localSheetId="84">#REF!</definedName>
    <definedName name="reten_std_asc">#REF!</definedName>
    <definedName name="reten_std_ins" localSheetId="84">#REF!</definedName>
    <definedName name="reten_std_ins">#REF!</definedName>
    <definedName name="reten_std_ins1" localSheetId="84">#REF!</definedName>
    <definedName name="reten_std_ins1">#REF!</definedName>
    <definedName name="revsharetable">#REF!</definedName>
    <definedName name="revsharetable4tc">#REF!</definedName>
    <definedName name="Risk_Factors" localSheetId="84">#REF!</definedName>
    <definedName name="Risk_Factors">#REF!</definedName>
    <definedName name="Risk_Response" localSheetId="84">#REF!</definedName>
    <definedName name="Risk_Response">#REF!</definedName>
    <definedName name="RNWMMSColOff">#REF!</definedName>
    <definedName name="RNWMMSRowOff">#REF!</definedName>
    <definedName name="RNWPremColOff">#REF!</definedName>
    <definedName name="RNWPremRowOff">#REF!</definedName>
    <definedName name="RNWYearMo">#REF!</definedName>
    <definedName name="Roll_up_data" localSheetId="84">#REF!</definedName>
    <definedName name="Roll_up_data">#REF!</definedName>
    <definedName name="RowOffset" localSheetId="84">#REF!</definedName>
    <definedName name="RowOffset">#REF!</definedName>
    <definedName name="RROPP05" localSheetId="84">#REF!</definedName>
    <definedName name="RROPP05">#REF!</definedName>
    <definedName name="rty" localSheetId="84">#REF!</definedName>
    <definedName name="rty">#REF!</definedName>
    <definedName name="Rx">#REF!</definedName>
    <definedName name="RxBOC">#REF!</definedName>
    <definedName name="RXCOSTPERSERVICE" localSheetId="84">#REF!</definedName>
    <definedName name="RXCOSTPERSERVICE">#REF!</definedName>
    <definedName name="RxRiderID1">#REF!</definedName>
    <definedName name="RxRiderID2">#REF!</definedName>
    <definedName name="RxRiderID3">#REF!</definedName>
    <definedName name="RxRiderID4">#REF!</definedName>
    <definedName name="RxRiders" localSheetId="84">#REF!</definedName>
    <definedName name="RxRiders">#REF!</definedName>
    <definedName name="RxWorksheetPage1" localSheetId="84">#REF!</definedName>
    <definedName name="RxWorksheetPage1">#REF!</definedName>
    <definedName name="RxWorksheetPage2" localSheetId="84">#REF!</definedName>
    <definedName name="RxWorksheetPage2">#REF!</definedName>
    <definedName name="s" localSheetId="84">#REF!</definedName>
    <definedName name="s">#REF!</definedName>
    <definedName name="sadf" localSheetId="84">#REF!</definedName>
    <definedName name="sadf">#REF!</definedName>
    <definedName name="SalesReps">#REF!</definedName>
    <definedName name="saveTxtOutput" localSheetId="84">#REF!</definedName>
    <definedName name="saveTxtOutput">#REF!</definedName>
    <definedName name="Scenarios">#REF!</definedName>
    <definedName name="sdfg" localSheetId="84">#REF!</definedName>
    <definedName name="sdfg">#REF!</definedName>
    <definedName name="SDrivers" localSheetId="84">#REF!</definedName>
    <definedName name="SDrivers">#REF!</definedName>
    <definedName name="Segment">#REF!</definedName>
    <definedName name="SegmentList">#REF!</definedName>
    <definedName name="SelectLegalEntity">#REF!</definedName>
    <definedName name="SelectProduct">#REF!</definedName>
    <definedName name="SelectSegment">#REF!</definedName>
    <definedName name="SelectState">#REF!</definedName>
    <definedName name="SelfInsuredFlag">#REF!</definedName>
    <definedName name="SERVICE_RESULTS" localSheetId="84">#REF!</definedName>
    <definedName name="SERVICE_RESULTS">#REF!</definedName>
    <definedName name="Sheet1" localSheetId="84">#REF!</definedName>
    <definedName name="Sheet1">#REF!</definedName>
    <definedName name="SPEC_ALLOC" localSheetId="84">#REF!</definedName>
    <definedName name="SPEC_ALLOC">#REF!</definedName>
    <definedName name="SpecAlloc" localSheetId="84">#REF!</definedName>
    <definedName name="SpecAlloc">#REF!</definedName>
    <definedName name="Specified_Procedure_Codes" localSheetId="84">#REF!</definedName>
    <definedName name="Specified_Procedure_Codes">#REF!</definedName>
    <definedName name="Specs" localSheetId="84">#REF!</definedName>
    <definedName name="Specs">#REF!</definedName>
    <definedName name="StandardBOC" localSheetId="84">#REF!</definedName>
    <definedName name="StandardBOC">#REF!</definedName>
    <definedName name="StandardOOP" localSheetId="84">#REF!</definedName>
    <definedName name="StandardOOP">#REF!</definedName>
    <definedName name="StartMo">#REF!</definedName>
    <definedName name="StartNum_Reformat" localSheetId="84">#REF!</definedName>
    <definedName name="StartNum_Reformat">#REF!</definedName>
    <definedName name="State">#REF!</definedName>
    <definedName name="StateList">#REF!</definedName>
    <definedName name="StateNumber1" localSheetId="84">#REF!</definedName>
    <definedName name="StateNumber1">#REF!</definedName>
    <definedName name="StateNumber2" localSheetId="84">#REF!</definedName>
    <definedName name="StateNumber2">#REF!</definedName>
    <definedName name="StateNumber3" localSheetId="84">#REF!</definedName>
    <definedName name="StateNumber3">#REF!</definedName>
    <definedName name="StateNumber4" localSheetId="84">#REF!</definedName>
    <definedName name="StateNumber4">#REF!</definedName>
    <definedName name="StateNumber5" localSheetId="84">#REF!</definedName>
    <definedName name="StateNumber5">#REF!</definedName>
    <definedName name="StateRange1" localSheetId="84">#REF!</definedName>
    <definedName name="StateRange1">#REF!</definedName>
    <definedName name="StateRange2" localSheetId="84">#REF!</definedName>
    <definedName name="StateRange2">#REF!</definedName>
    <definedName name="StateRange3" localSheetId="84">#REF!</definedName>
    <definedName name="StateRange3">#REF!</definedName>
    <definedName name="StateRange4" localSheetId="84">#REF!</definedName>
    <definedName name="StateRange4">#REF!</definedName>
    <definedName name="StateRange5" localSheetId="84">#REF!</definedName>
    <definedName name="StateRange5">#REF!</definedName>
    <definedName name="StateValue1" localSheetId="84">#REF!</definedName>
    <definedName name="StateValue1">#REF!</definedName>
    <definedName name="StateValue2" localSheetId="84">#REF!</definedName>
    <definedName name="StateValue2">#REF!</definedName>
    <definedName name="StateValue3" localSheetId="84">#REF!</definedName>
    <definedName name="StateValue3">#REF!</definedName>
    <definedName name="StateValue4" localSheetId="84">#REF!</definedName>
    <definedName name="StateValue4">#REF!</definedName>
    <definedName name="StateValue5" localSheetId="84">#REF!</definedName>
    <definedName name="StateValue5">#REF!</definedName>
    <definedName name="Status" localSheetId="84">#REF!</definedName>
    <definedName name="Status">#REF!</definedName>
    <definedName name="Status_Assumptions" localSheetId="84">#REF!</definedName>
    <definedName name="Status_Assumptions">#REF!</definedName>
    <definedName name="Status_Issues" localSheetId="84">#REF!</definedName>
    <definedName name="Status_Issues">#REF!</definedName>
    <definedName name="std">#REF!</definedName>
    <definedName name="STEERING" localSheetId="84">#REF!</definedName>
    <definedName name="STEERING">#REF!</definedName>
    <definedName name="STEP5_FLAG" localSheetId="84">#REF!</definedName>
    <definedName name="STEP5_FLAG">#REF!</definedName>
    <definedName name="STEP7_FLAG" localSheetId="84">#REF!</definedName>
    <definedName name="STEP7_FLAG">#REF!</definedName>
    <definedName name="StopNum_Reformat" localSheetId="84">#REF!</definedName>
    <definedName name="StopNum_Reformat">#REF!</definedName>
    <definedName name="subs_asc" localSheetId="84">#REF!</definedName>
    <definedName name="subs_asc">#REF!</definedName>
    <definedName name="subs_Ctrl_asc" localSheetId="84">#REF!</definedName>
    <definedName name="subs_Ctrl_asc">#REF!</definedName>
    <definedName name="subs_Ctrl_ins" localSheetId="84">#REF!</definedName>
    <definedName name="subs_Ctrl_ins">#REF!</definedName>
    <definedName name="subs_Ctrl_OOS" localSheetId="84">#REF!</definedName>
    <definedName name="subs_Ctrl_OOS">#REF!</definedName>
    <definedName name="subs_DirPay" localSheetId="84">#REF!</definedName>
    <definedName name="subs_DirPay">#REF!</definedName>
    <definedName name="subs_fep" localSheetId="84">#REF!</definedName>
    <definedName name="subs_fep">#REF!</definedName>
    <definedName name="subs_ins" localSheetId="84">#REF!</definedName>
    <definedName name="subs_ins">#REF!</definedName>
    <definedName name="subs_Par" localSheetId="84">#REF!</definedName>
    <definedName name="subs_Par">#REF!</definedName>
    <definedName name="sumfilter3" localSheetId="84">#REF!</definedName>
    <definedName name="sumfilter3">#REF!</definedName>
    <definedName name="Summarized_Maine_Data" localSheetId="84">#REF!</definedName>
    <definedName name="Summarized_Maine_Data">#REF!</definedName>
    <definedName name="Summary" localSheetId="84">#REF!</definedName>
    <definedName name="Summary">#REF!</definedName>
    <definedName name="SUMMARY_OON" localSheetId="84">#REF!</definedName>
    <definedName name="SUMMARY_OON">#REF!</definedName>
    <definedName name="SUMMARY_PCP" localSheetId="84">#REF!</definedName>
    <definedName name="SUMMARY_PCP">#REF!</definedName>
    <definedName name="SUMMARY_PCP1" localSheetId="84">#REF!</definedName>
    <definedName name="SUMMARY_PCP1">#REF!</definedName>
    <definedName name="SUMMARY_PCP2" localSheetId="84">#REF!</definedName>
    <definedName name="SUMMARY_PCP2">#REF!</definedName>
    <definedName name="SUMMARY_TABLE" localSheetId="84">#REF!</definedName>
    <definedName name="SUMMARY_TABLE">#REF!</definedName>
    <definedName name="SUMMARY1" localSheetId="84">#REF!</definedName>
    <definedName name="SUMMARY1">#REF!</definedName>
    <definedName name="SUMMARY2" localSheetId="84">#REF!</definedName>
    <definedName name="SUMMARY2">#REF!</definedName>
    <definedName name="SummaryTab1" localSheetId="84">#REF!</definedName>
    <definedName name="SummaryTab1">#REF!</definedName>
    <definedName name="SummaryTab2" localSheetId="84">#REF!</definedName>
    <definedName name="SummaryTab2">#REF!</definedName>
    <definedName name="SUMMDOC1" localSheetId="84">#REF!</definedName>
    <definedName name="SUMMDOC1">#REF!</definedName>
    <definedName name="SUMMDOC2" localSheetId="84">#REF!</definedName>
    <definedName name="SUMMDOC2">#REF!</definedName>
    <definedName name="SUMMDOCPCP1" localSheetId="84">#REF!</definedName>
    <definedName name="SUMMDOCPCP1">#REF!</definedName>
    <definedName name="SUMMDOCPCP2" localSheetId="84">#REF!</definedName>
    <definedName name="SUMMDOCPCP2">#REF!</definedName>
    <definedName name="t" localSheetId="84">#REF!</definedName>
    <definedName name="t">#REF!</definedName>
    <definedName name="T_dn_acct_2" localSheetId="84">#REF!</definedName>
    <definedName name="T_dn_acct_2">#REF!</definedName>
    <definedName name="T_p1_exp" localSheetId="84">#REF!</definedName>
    <definedName name="T_p1_exp">#REF!</definedName>
    <definedName name="T_p1_renewal" localSheetId="84">#REF!</definedName>
    <definedName name="T_p1_renewal">#REF!</definedName>
    <definedName name="T_p2_exp" localSheetId="84">#REF!</definedName>
    <definedName name="T_p2_exp">#REF!</definedName>
    <definedName name="T_p2_renewal" localSheetId="84">#REF!</definedName>
    <definedName name="T_p2_renewal">#REF!</definedName>
    <definedName name="TableName">"Dummy"</definedName>
    <definedName name="TC_COUNT" localSheetId="84">#REF!</definedName>
    <definedName name="TC_COUNT">#REF!</definedName>
    <definedName name="template" localSheetId="84">#REF!</definedName>
    <definedName name="template">#REF!</definedName>
    <definedName name="Terms2007" localSheetId="84">#REF!</definedName>
    <definedName name="Terms2007">#REF!</definedName>
    <definedName name="Territories">#REF!</definedName>
    <definedName name="TerritoryCodes">#REF!</definedName>
    <definedName name="tert_Names" localSheetId="84">#REF!</definedName>
    <definedName name="tert_Names">#REF!</definedName>
    <definedName name="tert_OP_Download" localSheetId="84">#REF!</definedName>
    <definedName name="tert_OP_Download">#REF!</definedName>
    <definedName name="tert_year" localSheetId="84">#REF!</definedName>
    <definedName name="tert_year">#REF!</definedName>
    <definedName name="test" localSheetId="84">#REF!</definedName>
    <definedName name="test">#REF!</definedName>
    <definedName name="Test1" localSheetId="84">#REF!</definedName>
    <definedName name="Test1">#REF!</definedName>
    <definedName name="TestList" localSheetId="84">#REF!</definedName>
    <definedName name="TestList">#REF!</definedName>
    <definedName name="tieout" localSheetId="84">#REF!</definedName>
    <definedName name="tieout">#REF!</definedName>
    <definedName name="Time" localSheetId="84">#REF!</definedName>
    <definedName name="Time">#REF!</definedName>
    <definedName name="Title" localSheetId="84">#REF!</definedName>
    <definedName name="Title">#REF!</definedName>
    <definedName name="titlea" localSheetId="84">#REF!</definedName>
    <definedName name="titlea">#REF!</definedName>
    <definedName name="TMC_IP_DETAILS" localSheetId="84">#REF!</definedName>
    <definedName name="TMC_IP_DETAILS">#REF!</definedName>
    <definedName name="TMC_MD_SUMMARY" localSheetId="84">#REF!</definedName>
    <definedName name="TMC_MD_SUMMARY">#REF!</definedName>
    <definedName name="top_proc" localSheetId="84">#REF!</definedName>
    <definedName name="top_proc">#REF!</definedName>
    <definedName name="Total" localSheetId="0">#REF!</definedName>
    <definedName name="Total" localSheetId="84">#REF!</definedName>
    <definedName name="Total">#REF!</definedName>
    <definedName name="TotPMPMVar" localSheetId="84">#REF!</definedName>
    <definedName name="TotPMPMVar">#REF!</definedName>
    <definedName name="TotPMPMVarBE" localSheetId="84">#REF!</definedName>
    <definedName name="TotPMPMVarBE">#REF!</definedName>
    <definedName name="TrendMonths" localSheetId="84">#REF!</definedName>
    <definedName name="TrendMonths">#REF!</definedName>
    <definedName name="trustedStatus" localSheetId="84">#REF!</definedName>
    <definedName name="trustedStatus">#REF!</definedName>
    <definedName name="TTAdj" localSheetId="84">#REF!</definedName>
    <definedName name="TTAdj">#REF!</definedName>
    <definedName name="Type" localSheetId="84">#REF!</definedName>
    <definedName name="Type">#REF!</definedName>
    <definedName name="tyu" localSheetId="84">#REF!</definedName>
    <definedName name="tyu">#REF!</definedName>
    <definedName name="uio" localSheetId="84">#REF!</definedName>
    <definedName name="uio">#REF!</definedName>
    <definedName name="Underwriters">#REF!</definedName>
    <definedName name="uselife" localSheetId="84">#REF!</definedName>
    <definedName name="uselife">#REF!</definedName>
    <definedName name="UseRxRatingStructure" localSheetId="84">#REF!</definedName>
    <definedName name="UseRxRatingStructure">#REF!</definedName>
    <definedName name="util" localSheetId="84">#REF!</definedName>
    <definedName name="util">#REF!</definedName>
    <definedName name="util_dist" localSheetId="84">#REF!</definedName>
    <definedName name="util_dist">#REF!</definedName>
    <definedName name="util_dist1" localSheetId="84">#REF!</definedName>
    <definedName name="util_dist1">#REF!</definedName>
    <definedName name="util_dist2" localSheetId="84">#REF!</definedName>
    <definedName name="util_dist2">#REF!</definedName>
    <definedName name="Util_K">#REF!</definedName>
    <definedName name="Util_No_ADB" localSheetId="84">#REF!</definedName>
    <definedName name="Util_No_ADB">#REF!</definedName>
    <definedName name="Util_No_ADP" localSheetId="84">#REF!</definedName>
    <definedName name="Util_No_ADP">#REF!</definedName>
    <definedName name="Util_No_ADPB" localSheetId="84">#REF!</definedName>
    <definedName name="Util_No_ADPB">#REF!</definedName>
    <definedName name="Util_No_PB" localSheetId="84">#REF!</definedName>
    <definedName name="Util_No_PB">#REF!</definedName>
    <definedName name="util1" localSheetId="84">#REF!</definedName>
    <definedName name="util1">#REF!</definedName>
    <definedName name="util2" localSheetId="84">#REF!</definedName>
    <definedName name="util2">#REF!</definedName>
    <definedName name="VariableMLRs">#REF!</definedName>
    <definedName name="Version_1" localSheetId="84">#REF!</definedName>
    <definedName name="Version_1">#REF!</definedName>
    <definedName name="VisionChildrenOnly" localSheetId="84">#REF!</definedName>
    <definedName name="VisionChildrenOnly">#REF!</definedName>
    <definedName name="vv">#REF!</definedName>
    <definedName name="water" localSheetId="84">#REF!</definedName>
    <definedName name="water">#REF!</definedName>
    <definedName name="well_mgd_chrg" localSheetId="84">#REF!</definedName>
    <definedName name="well_mgd_chrg">#REF!</definedName>
    <definedName name="well_mgd_chrg_rel" localSheetId="84">#REF!</definedName>
    <definedName name="well_mgd_chrg_rel">#REF!</definedName>
    <definedName name="well_mgd_chrg_rel1" localSheetId="84">#REF!</definedName>
    <definedName name="well_mgd_chrg_rel1">#REF!</definedName>
    <definedName name="well_mgd_chrg_rel2" localSheetId="84">#REF!</definedName>
    <definedName name="well_mgd_chrg_rel2">#REF!</definedName>
    <definedName name="well_mgd_chrg1" localSheetId="84">#REF!</definedName>
    <definedName name="well_mgd_chrg1">#REF!</definedName>
    <definedName name="well_mgd_chrg2" localSheetId="84">#REF!</definedName>
    <definedName name="well_mgd_chrg2">#REF!</definedName>
    <definedName name="well_mgd_util" localSheetId="84">#REF!</definedName>
    <definedName name="well_mgd_util">#REF!</definedName>
    <definedName name="well_mgd_util_dist" localSheetId="84">#REF!</definedName>
    <definedName name="well_mgd_util_dist">#REF!</definedName>
    <definedName name="well_mgd_util_dist1" localSheetId="84">#REF!</definedName>
    <definedName name="well_mgd_util_dist1">#REF!</definedName>
    <definedName name="well_mgd_util_dist2" localSheetId="84">#REF!</definedName>
    <definedName name="well_mgd_util_dist2">#REF!</definedName>
    <definedName name="well_mgd_util1" localSheetId="84">#REF!</definedName>
    <definedName name="well_mgd_util1">#REF!</definedName>
    <definedName name="well_mgd_util2" localSheetId="84">#REF!</definedName>
    <definedName name="well_mgd_util2">#REF!</definedName>
    <definedName name="wer" localSheetId="3" hidden="1">#REF!</definedName>
    <definedName name="wer" localSheetId="2" hidden="1">#REF!</definedName>
    <definedName name="wer" localSheetId="14" hidden="1">#REF!</definedName>
    <definedName name="wer" localSheetId="18" hidden="1">#REF!</definedName>
    <definedName name="wer" localSheetId="20" hidden="1">#REF!</definedName>
    <definedName name="wer" localSheetId="22" hidden="1">#REF!</definedName>
    <definedName name="wer" localSheetId="24" hidden="1">#REF!</definedName>
    <definedName name="wer" localSheetId="26" hidden="1">#REF!</definedName>
    <definedName name="wer" localSheetId="28" hidden="1">#REF!</definedName>
    <definedName name="wer" localSheetId="30" hidden="1">#REF!</definedName>
    <definedName name="wer" localSheetId="32" hidden="1">#REF!</definedName>
    <definedName name="wer" localSheetId="34" hidden="1">#REF!</definedName>
    <definedName name="wer" localSheetId="36" hidden="1">#REF!</definedName>
    <definedName name="wer" localSheetId="38" hidden="1">#REF!</definedName>
    <definedName name="wer" localSheetId="42" hidden="1">#REF!</definedName>
    <definedName name="wer" localSheetId="44" hidden="1">#REF!</definedName>
    <definedName name="wer" localSheetId="46" hidden="1">#REF!</definedName>
    <definedName name="wer" localSheetId="8" hidden="1">#REF!</definedName>
    <definedName name="wer" localSheetId="10" hidden="1">#REF!</definedName>
    <definedName name="wer" localSheetId="12" hidden="1">#REF!</definedName>
    <definedName name="wer" localSheetId="13" hidden="1">#REF!</definedName>
    <definedName name="wer" localSheetId="17" hidden="1">#REF!</definedName>
    <definedName name="wer" localSheetId="19" hidden="1">#REF!</definedName>
    <definedName name="wer" localSheetId="21" hidden="1">#REF!</definedName>
    <definedName name="wer" localSheetId="23" hidden="1">#REF!</definedName>
    <definedName name="wer" localSheetId="25" hidden="1">#REF!</definedName>
    <definedName name="wer" localSheetId="27" hidden="1">#REF!</definedName>
    <definedName name="wer" localSheetId="29" hidden="1">#REF!</definedName>
    <definedName name="wer" localSheetId="31" hidden="1">#REF!</definedName>
    <definedName name="wer" localSheetId="33" hidden="1">#REF!</definedName>
    <definedName name="wer" localSheetId="35" hidden="1">#REF!</definedName>
    <definedName name="wer" localSheetId="37" hidden="1">#REF!</definedName>
    <definedName name="wer" localSheetId="41" hidden="1">#REF!</definedName>
    <definedName name="wer" localSheetId="43" hidden="1">#REF!</definedName>
    <definedName name="wer" localSheetId="45" hidden="1">#REF!</definedName>
    <definedName name="wer" localSheetId="7" hidden="1">#REF!</definedName>
    <definedName name="wer" localSheetId="9" hidden="1">#REF!</definedName>
    <definedName name="wer" localSheetId="11" hidden="1">#REF!</definedName>
    <definedName name="wer" localSheetId="75" hidden="1">#REF!</definedName>
    <definedName name="wer" localSheetId="57" hidden="1">#REF!</definedName>
    <definedName name="wer" localSheetId="74" hidden="1">#REF!</definedName>
    <definedName name="wer" localSheetId="56" hidden="1">#REF!</definedName>
    <definedName name="wer" localSheetId="85" hidden="1">#REF!</definedName>
    <definedName name="wer" localSheetId="87" hidden="1">#REF!</definedName>
    <definedName name="wer" localSheetId="83" hidden="1">#REF!</definedName>
    <definedName name="wer" localSheetId="84" hidden="1">#REF!</definedName>
    <definedName name="wer" localSheetId="86" hidden="1">#REF!</definedName>
    <definedName name="wer" hidden="1">#REF!</definedName>
    <definedName name="why" localSheetId="84">#REF!</definedName>
    <definedName name="why">#REF!</definedName>
    <definedName name="work_data4_0" localSheetId="84">OFFSET(#REF!,0,0,#REF!-1,1)</definedName>
    <definedName name="work_data4_0">OFFSET(#REF!,0,0,#REF!-1,1)</definedName>
    <definedName name="work_data4_1" localSheetId="84">OFFSET(#REF!,0,0,#REF!,1)</definedName>
    <definedName name="work_data4_1">OFFSET(#REF!,0,0,#REF!,1)</definedName>
    <definedName name="work_data4_2" localSheetId="84">OFFSET(#REF!,0,0,#REF!,1)</definedName>
    <definedName name="work_data4_2">OFFSET(#REF!,0,0,#REF!,1)</definedName>
    <definedName name="work_data4_3" localSheetId="84">OFFSET(#REF!,0,0,1,#REF!)</definedName>
    <definedName name="work_data4_3">OFFSET(#REF!,0,0,1,#REF!)</definedName>
    <definedName name="work_data4_4" localSheetId="84">OFFSET(#REF!,0,0,#REF!-1,1)</definedName>
    <definedName name="work_data4_4">OFFSET(#REF!,0,0,#REF!-1,1)</definedName>
    <definedName name="work_data4_5" localSheetId="84">OFFSET(#REF!,0,0,#REF!,#REF!-1)</definedName>
    <definedName name="work_data4_5">OFFSET(#REF!,0,0,#REF!,#REF!-1)</definedName>
    <definedName name="work_data4_inc_mnth" localSheetId="84">OFFSET(#REF!,0,0,#REF!,1)</definedName>
    <definedName name="work_data4_inc_mnth">OFFSET(#REF!,0,0,#REF!,1)</definedName>
    <definedName name="work_data4_members" localSheetId="84">OFFSET(#REF!,0,0,#REF!,1)</definedName>
    <definedName name="work_data4_members">OFFSET(#REF!,0,0,#REF!,1)</definedName>
    <definedName name="wrn.Adjusted._.Mod._.Managed."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5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5"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3" hidden="1">{"OM Visits",#N/A,TRUE,"Optimal";"OM Dollars per Hour",#N/A,TRUE,"Optimal";"OM Hours per Visit",#N/A,TRUE,"Optimal";"OM Dollars per Visit",#N/A,TRUE,"Optimal";"OM Total Visits",#N/A,TRUE,"Optimal";"OM PMPM",#N/A,TRUE,"Optimal"}</definedName>
    <definedName name="wrn.Adjusted._.Optimal." localSheetId="2" hidden="1">{"OM Visits",#N/A,TRUE,"Optimal";"OM Dollars per Hour",#N/A,TRUE,"Optimal";"OM Hours per Visit",#N/A,TRUE,"Optimal";"OM Dollars per Visit",#N/A,TRUE,"Optimal";"OM Total Visits",#N/A,TRUE,"Optimal";"OM PMPM",#N/A,TRUE,"Optimal"}</definedName>
    <definedName name="wrn.Adjusted._.Optimal." localSheetId="6" hidden="1">{"OM Visits",#N/A,TRUE,"Optimal";"OM Dollars per Hour",#N/A,TRUE,"Optimal";"OM Hours per Visit",#N/A,TRUE,"Optimal";"OM Dollars per Visit",#N/A,TRUE,"Optimal";"OM Total Visits",#N/A,TRUE,"Optimal";"OM PMPM",#N/A,TRUE,"Optimal"}</definedName>
    <definedName name="wrn.Adjusted._.Optimal." localSheetId="14" hidden="1">{"OM Visits",#N/A,TRUE,"Optimal";"OM Dollars per Hour",#N/A,TRUE,"Optimal";"OM Hours per Visit",#N/A,TRUE,"Optimal";"OM Dollars per Visit",#N/A,TRUE,"Optimal";"OM Total Visits",#N/A,TRUE,"Optimal";"OM PMPM",#N/A,TRUE,"Optimal"}</definedName>
    <definedName name="wrn.Adjusted._.Optimal." localSheetId="16" hidden="1">{"OM Visits",#N/A,TRUE,"Optimal";"OM Dollars per Hour",#N/A,TRUE,"Optimal";"OM Hours per Visit",#N/A,TRUE,"Optimal";"OM Dollars per Visit",#N/A,TRUE,"Optimal";"OM Total Visits",#N/A,TRUE,"Optimal";"OM PMPM",#N/A,TRUE,"Optimal"}</definedName>
    <definedName name="wrn.Adjusted._.Optimal." localSheetId="18" hidden="1">{"OM Visits",#N/A,TRUE,"Optimal";"OM Dollars per Hour",#N/A,TRUE,"Optimal";"OM Hours per Visit",#N/A,TRUE,"Optimal";"OM Dollars per Visit",#N/A,TRUE,"Optimal";"OM Total Visits",#N/A,TRUE,"Optimal";"OM PMPM",#N/A,TRUE,"Optimal"}</definedName>
    <definedName name="wrn.Adjusted._.Optimal." localSheetId="20" hidden="1">{"OM Visits",#N/A,TRUE,"Optimal";"OM Dollars per Hour",#N/A,TRUE,"Optimal";"OM Hours per Visit",#N/A,TRUE,"Optimal";"OM Dollars per Visit",#N/A,TRUE,"Optimal";"OM Total Visits",#N/A,TRUE,"Optimal";"OM PMPM",#N/A,TRUE,"Optimal"}</definedName>
    <definedName name="wrn.Adjusted._.Optimal." localSheetId="22" hidden="1">{"OM Visits",#N/A,TRUE,"Optimal";"OM Dollars per Hour",#N/A,TRUE,"Optimal";"OM Hours per Visit",#N/A,TRUE,"Optimal";"OM Dollars per Visit",#N/A,TRUE,"Optimal";"OM Total Visits",#N/A,TRUE,"Optimal";"OM PMPM",#N/A,TRUE,"Optimal"}</definedName>
    <definedName name="wrn.Adjusted._.Optimal." localSheetId="24" hidden="1">{"OM Visits",#N/A,TRUE,"Optimal";"OM Dollars per Hour",#N/A,TRUE,"Optimal";"OM Hours per Visit",#N/A,TRUE,"Optimal";"OM Dollars per Visit",#N/A,TRUE,"Optimal";"OM Total Visits",#N/A,TRUE,"Optimal";"OM PMPM",#N/A,TRUE,"Optimal"}</definedName>
    <definedName name="wrn.Adjusted._.Optimal." localSheetId="26" hidden="1">{"OM Visits",#N/A,TRUE,"Optimal";"OM Dollars per Hour",#N/A,TRUE,"Optimal";"OM Hours per Visit",#N/A,TRUE,"Optimal";"OM Dollars per Visit",#N/A,TRUE,"Optimal";"OM Total Visits",#N/A,TRUE,"Optimal";"OM PMPM",#N/A,TRUE,"Optimal"}</definedName>
    <definedName name="wrn.Adjusted._.Optimal." localSheetId="28" hidden="1">{"OM Visits",#N/A,TRUE,"Optimal";"OM Dollars per Hour",#N/A,TRUE,"Optimal";"OM Hours per Visit",#N/A,TRUE,"Optimal";"OM Dollars per Visit",#N/A,TRUE,"Optimal";"OM Total Visits",#N/A,TRUE,"Optimal";"OM PMPM",#N/A,TRUE,"Optimal"}</definedName>
    <definedName name="wrn.Adjusted._.Optimal." localSheetId="30" hidden="1">{"OM Visits",#N/A,TRUE,"Optimal";"OM Dollars per Hour",#N/A,TRUE,"Optimal";"OM Hours per Visit",#N/A,TRUE,"Optimal";"OM Dollars per Visit",#N/A,TRUE,"Optimal";"OM Total Visits",#N/A,TRUE,"Optimal";"OM PMPM",#N/A,TRUE,"Optimal"}</definedName>
    <definedName name="wrn.Adjusted._.Optimal." localSheetId="32" hidden="1">{"OM Visits",#N/A,TRUE,"Optimal";"OM Dollars per Hour",#N/A,TRUE,"Optimal";"OM Hours per Visit",#N/A,TRUE,"Optimal";"OM Dollars per Visit",#N/A,TRUE,"Optimal";"OM Total Visits",#N/A,TRUE,"Optimal";"OM PMPM",#N/A,TRUE,"Optimal"}</definedName>
    <definedName name="wrn.Adjusted._.Optimal." localSheetId="34" hidden="1">{"OM Visits",#N/A,TRUE,"Optimal";"OM Dollars per Hour",#N/A,TRUE,"Optimal";"OM Hours per Visit",#N/A,TRUE,"Optimal";"OM Dollars per Visit",#N/A,TRUE,"Optimal";"OM Total Visits",#N/A,TRUE,"Optimal";"OM PMPM",#N/A,TRUE,"Optimal"}</definedName>
    <definedName name="wrn.Adjusted._.Optimal." localSheetId="36" hidden="1">{"OM Visits",#N/A,TRUE,"Optimal";"OM Dollars per Hour",#N/A,TRUE,"Optimal";"OM Hours per Visit",#N/A,TRUE,"Optimal";"OM Dollars per Visit",#N/A,TRUE,"Optimal";"OM Total Visits",#N/A,TRUE,"Optimal";"OM PMPM",#N/A,TRUE,"Optimal"}</definedName>
    <definedName name="wrn.Adjusted._.Optimal." localSheetId="38" hidden="1">{"OM Visits",#N/A,TRUE,"Optimal";"OM Dollars per Hour",#N/A,TRUE,"Optimal";"OM Hours per Visit",#N/A,TRUE,"Optimal";"OM Dollars per Visit",#N/A,TRUE,"Optimal";"OM Total Visits",#N/A,TRUE,"Optimal";"OM PMPM",#N/A,TRUE,"Optimal"}</definedName>
    <definedName name="wrn.Adjusted._.Optimal." localSheetId="42" hidden="1">{"OM Visits",#N/A,TRUE,"Optimal";"OM Dollars per Hour",#N/A,TRUE,"Optimal";"OM Hours per Visit",#N/A,TRUE,"Optimal";"OM Dollars per Visit",#N/A,TRUE,"Optimal";"OM Total Visits",#N/A,TRUE,"Optimal";"OM PMPM",#N/A,TRUE,"Optimal"}</definedName>
    <definedName name="wrn.Adjusted._.Optimal." localSheetId="44" hidden="1">{"OM Visits",#N/A,TRUE,"Optimal";"OM Dollars per Hour",#N/A,TRUE,"Optimal";"OM Hours per Visit",#N/A,TRUE,"Optimal";"OM Dollars per Visit",#N/A,TRUE,"Optimal";"OM Total Visits",#N/A,TRUE,"Optimal";"OM PMPM",#N/A,TRUE,"Optimal"}</definedName>
    <definedName name="wrn.Adjusted._.Optimal." localSheetId="46" hidden="1">{"OM Visits",#N/A,TRUE,"Optimal";"OM Dollars per Hour",#N/A,TRUE,"Optimal";"OM Hours per Visit",#N/A,TRUE,"Optimal";"OM Dollars per Visit",#N/A,TRUE,"Optimal";"OM Total Visits",#N/A,TRUE,"Optimal";"OM PMPM",#N/A,TRUE,"Optimal"}</definedName>
    <definedName name="wrn.Adjusted._.Optimal." localSheetId="8" hidden="1">{"OM Visits",#N/A,TRUE,"Optimal";"OM Dollars per Hour",#N/A,TRUE,"Optimal";"OM Hours per Visit",#N/A,TRUE,"Optimal";"OM Dollars per Visit",#N/A,TRUE,"Optimal";"OM Total Visits",#N/A,TRUE,"Optimal";"OM PMPM",#N/A,TRUE,"Optimal"}</definedName>
    <definedName name="wrn.Adjusted._.Optimal." localSheetId="10" hidden="1">{"OM Visits",#N/A,TRUE,"Optimal";"OM Dollars per Hour",#N/A,TRUE,"Optimal";"OM Hours per Visit",#N/A,TRUE,"Optimal";"OM Dollars per Visit",#N/A,TRUE,"Optimal";"OM Total Visits",#N/A,TRUE,"Optimal";"OM PMPM",#N/A,TRUE,"Optimal"}</definedName>
    <definedName name="wrn.Adjusted._.Optimal." localSheetId="12" hidden="1">{"OM Visits",#N/A,TRUE,"Optimal";"OM Dollars per Hour",#N/A,TRUE,"Optimal";"OM Hours per Visit",#N/A,TRUE,"Optimal";"OM Dollars per Visit",#N/A,TRUE,"Optimal";"OM Total Visits",#N/A,TRUE,"Optimal";"OM PMPM",#N/A,TRUE,"Optimal"}</definedName>
    <definedName name="wrn.Adjusted._.Optimal." localSheetId="5" hidden="1">{"OM Visits",#N/A,TRUE,"Optimal";"OM Dollars per Hour",#N/A,TRUE,"Optimal";"OM Hours per Visit",#N/A,TRUE,"Optimal";"OM Dollars per Visit",#N/A,TRUE,"Optimal";"OM Total Visits",#N/A,TRUE,"Optimal";"OM PMPM",#N/A,TRUE,"Optimal"}</definedName>
    <definedName name="wrn.Adjusted._.Optimal." localSheetId="13" hidden="1">{"OM Visits",#N/A,TRUE,"Optimal";"OM Dollars per Hour",#N/A,TRUE,"Optimal";"OM Hours per Visit",#N/A,TRUE,"Optimal";"OM Dollars per Visit",#N/A,TRUE,"Optimal";"OM Total Visits",#N/A,TRUE,"Optimal";"OM PMPM",#N/A,TRUE,"Optimal"}</definedName>
    <definedName name="wrn.Adjusted._.Optimal." localSheetId="15" hidden="1">{"OM Visits",#N/A,TRUE,"Optimal";"OM Dollars per Hour",#N/A,TRUE,"Optimal";"OM Hours per Visit",#N/A,TRUE,"Optimal";"OM Dollars per Visit",#N/A,TRUE,"Optimal";"OM Total Visits",#N/A,TRUE,"Optimal";"OM PMPM",#N/A,TRUE,"Optimal"}</definedName>
    <definedName name="wrn.Adjusted._.Optimal." localSheetId="17" hidden="1">{"OM Visits",#N/A,TRUE,"Optimal";"OM Dollars per Hour",#N/A,TRUE,"Optimal";"OM Hours per Visit",#N/A,TRUE,"Optimal";"OM Dollars per Visit",#N/A,TRUE,"Optimal";"OM Total Visits",#N/A,TRUE,"Optimal";"OM PMPM",#N/A,TRUE,"Optimal"}</definedName>
    <definedName name="wrn.Adjusted._.Optimal." localSheetId="19" hidden="1">{"OM Visits",#N/A,TRUE,"Optimal";"OM Dollars per Hour",#N/A,TRUE,"Optimal";"OM Hours per Visit",#N/A,TRUE,"Optimal";"OM Dollars per Visit",#N/A,TRUE,"Optimal";"OM Total Visits",#N/A,TRUE,"Optimal";"OM PMPM",#N/A,TRUE,"Optimal"}</definedName>
    <definedName name="wrn.Adjusted._.Optimal." localSheetId="21" hidden="1">{"OM Visits",#N/A,TRUE,"Optimal";"OM Dollars per Hour",#N/A,TRUE,"Optimal";"OM Hours per Visit",#N/A,TRUE,"Optimal";"OM Dollars per Visit",#N/A,TRUE,"Optimal";"OM Total Visits",#N/A,TRUE,"Optimal";"OM PMPM",#N/A,TRUE,"Optimal"}</definedName>
    <definedName name="wrn.Adjusted._.Optimal." localSheetId="23" hidden="1">{"OM Visits",#N/A,TRUE,"Optimal";"OM Dollars per Hour",#N/A,TRUE,"Optimal";"OM Hours per Visit",#N/A,TRUE,"Optimal";"OM Dollars per Visit",#N/A,TRUE,"Optimal";"OM Total Visits",#N/A,TRUE,"Optimal";"OM PMPM",#N/A,TRUE,"Optimal"}</definedName>
    <definedName name="wrn.Adjusted._.Optimal." localSheetId="25" hidden="1">{"OM Visits",#N/A,TRUE,"Optimal";"OM Dollars per Hour",#N/A,TRUE,"Optimal";"OM Hours per Visit",#N/A,TRUE,"Optimal";"OM Dollars per Visit",#N/A,TRUE,"Optimal";"OM Total Visits",#N/A,TRUE,"Optimal";"OM PMPM",#N/A,TRUE,"Optimal"}</definedName>
    <definedName name="wrn.Adjusted._.Optimal." localSheetId="27" hidden="1">{"OM Visits",#N/A,TRUE,"Optimal";"OM Dollars per Hour",#N/A,TRUE,"Optimal";"OM Hours per Visit",#N/A,TRUE,"Optimal";"OM Dollars per Visit",#N/A,TRUE,"Optimal";"OM Total Visits",#N/A,TRUE,"Optimal";"OM PMPM",#N/A,TRUE,"Optimal"}</definedName>
    <definedName name="wrn.Adjusted._.Optimal." localSheetId="29" hidden="1">{"OM Visits",#N/A,TRUE,"Optimal";"OM Dollars per Hour",#N/A,TRUE,"Optimal";"OM Hours per Visit",#N/A,TRUE,"Optimal";"OM Dollars per Visit",#N/A,TRUE,"Optimal";"OM Total Visits",#N/A,TRUE,"Optimal";"OM PMPM",#N/A,TRUE,"Optimal"}</definedName>
    <definedName name="wrn.Adjusted._.Optimal." localSheetId="31" hidden="1">{"OM Visits",#N/A,TRUE,"Optimal";"OM Dollars per Hour",#N/A,TRUE,"Optimal";"OM Hours per Visit",#N/A,TRUE,"Optimal";"OM Dollars per Visit",#N/A,TRUE,"Optimal";"OM Total Visits",#N/A,TRUE,"Optimal";"OM PMPM",#N/A,TRUE,"Optimal"}</definedName>
    <definedName name="wrn.Adjusted._.Optimal." localSheetId="33" hidden="1">{"OM Visits",#N/A,TRUE,"Optimal";"OM Dollars per Hour",#N/A,TRUE,"Optimal";"OM Hours per Visit",#N/A,TRUE,"Optimal";"OM Dollars per Visit",#N/A,TRUE,"Optimal";"OM Total Visits",#N/A,TRUE,"Optimal";"OM PMPM",#N/A,TRUE,"Optimal"}</definedName>
    <definedName name="wrn.Adjusted._.Optimal." localSheetId="35" hidden="1">{"OM Visits",#N/A,TRUE,"Optimal";"OM Dollars per Hour",#N/A,TRUE,"Optimal";"OM Hours per Visit",#N/A,TRUE,"Optimal";"OM Dollars per Visit",#N/A,TRUE,"Optimal";"OM Total Visits",#N/A,TRUE,"Optimal";"OM PMPM",#N/A,TRUE,"Optimal"}</definedName>
    <definedName name="wrn.Adjusted._.Optimal." localSheetId="37" hidden="1">{"OM Visits",#N/A,TRUE,"Optimal";"OM Dollars per Hour",#N/A,TRUE,"Optimal";"OM Hours per Visit",#N/A,TRUE,"Optimal";"OM Dollars per Visit",#N/A,TRUE,"Optimal";"OM Total Visits",#N/A,TRUE,"Optimal";"OM PMPM",#N/A,TRUE,"Optimal"}</definedName>
    <definedName name="wrn.Adjusted._.Optimal." localSheetId="41" hidden="1">{"OM Visits",#N/A,TRUE,"Optimal";"OM Dollars per Hour",#N/A,TRUE,"Optimal";"OM Hours per Visit",#N/A,TRUE,"Optimal";"OM Dollars per Visit",#N/A,TRUE,"Optimal";"OM Total Visits",#N/A,TRUE,"Optimal";"OM PMPM",#N/A,TRUE,"Optimal"}</definedName>
    <definedName name="wrn.Adjusted._.Optimal." localSheetId="43" hidden="1">{"OM Visits",#N/A,TRUE,"Optimal";"OM Dollars per Hour",#N/A,TRUE,"Optimal";"OM Hours per Visit",#N/A,TRUE,"Optimal";"OM Dollars per Visit",#N/A,TRUE,"Optimal";"OM Total Visits",#N/A,TRUE,"Optimal";"OM PMPM",#N/A,TRUE,"Optimal"}</definedName>
    <definedName name="wrn.Adjusted._.Optimal." localSheetId="45" hidden="1">{"OM Visits",#N/A,TRUE,"Optimal";"OM Dollars per Hour",#N/A,TRUE,"Optimal";"OM Hours per Visit",#N/A,TRUE,"Optimal";"OM Dollars per Visit",#N/A,TRUE,"Optimal";"OM Total Visits",#N/A,TRUE,"Optimal";"OM PMPM",#N/A,TRUE,"Optimal"}</definedName>
    <definedName name="wrn.Adjusted._.Optimal." localSheetId="7" hidden="1">{"OM Visits",#N/A,TRUE,"Optimal";"OM Dollars per Hour",#N/A,TRUE,"Optimal";"OM Hours per Visit",#N/A,TRUE,"Optimal";"OM Dollars per Visit",#N/A,TRUE,"Optimal";"OM Total Visits",#N/A,TRUE,"Optimal";"OM PMPM",#N/A,TRUE,"Optimal"}</definedName>
    <definedName name="wrn.Adjusted._.Optimal." localSheetId="9" hidden="1">{"OM Visits",#N/A,TRUE,"Optimal";"OM Dollars per Hour",#N/A,TRUE,"Optimal";"OM Hours per Visit",#N/A,TRUE,"Optimal";"OM Dollars per Visit",#N/A,TRUE,"Optimal";"OM Total Visits",#N/A,TRUE,"Optimal";"OM PMPM",#N/A,TRUE,"Optimal"}</definedName>
    <definedName name="wrn.Adjusted._.Optimal." localSheetId="11" hidden="1">{"OM Visits",#N/A,TRUE,"Optimal";"OM Dollars per Hour",#N/A,TRUE,"Optimal";"OM Hours per Visit",#N/A,TRUE,"Optimal";"OM Dollars per Visit",#N/A,TRUE,"Optimal";"OM Total Visits",#N/A,TRUE,"Optimal";"OM PMPM",#N/A,TRUE,"Optimal"}</definedName>
    <definedName name="wrn.Adjusted._.Optimal." localSheetId="53" hidden="1">{"OM Visits",#N/A,TRUE,"Optimal";"OM Dollars per Hour",#N/A,TRUE,"Optimal";"OM Hours per Visit",#N/A,TRUE,"Optimal";"OM Dollars per Visit",#N/A,TRUE,"Optimal";"OM Total Visits",#N/A,TRUE,"Optimal";"OM PMPM",#N/A,TRUE,"Optimal"}</definedName>
    <definedName name="wrn.Adjusted._.Optimal." localSheetId="69" hidden="1">{"OM Visits",#N/A,TRUE,"Optimal";"OM Dollars per Hour",#N/A,TRUE,"Optimal";"OM Hours per Visit",#N/A,TRUE,"Optimal";"OM Dollars per Visit",#N/A,TRUE,"Optimal";"OM Total Visits",#N/A,TRUE,"Optimal";"OM PMPM",#N/A,TRUE,"Optimal"}</definedName>
    <definedName name="wrn.Adjusted._.Optimal." localSheetId="75" hidden="1">{"OM Visits",#N/A,TRUE,"Optimal";"OM Dollars per Hour",#N/A,TRUE,"Optimal";"OM Hours per Visit",#N/A,TRUE,"Optimal";"OM Dollars per Visit",#N/A,TRUE,"Optimal";"OM Total Visits",#N/A,TRUE,"Optimal";"OM PMPM",#N/A,TRUE,"Optimal"}</definedName>
    <definedName name="wrn.Adjusted._.Optimal." localSheetId="55" hidden="1">{"OM Visits",#N/A,TRUE,"Optimal";"OM Dollars per Hour",#N/A,TRUE,"Optimal";"OM Hours per Visit",#N/A,TRUE,"Optimal";"OM Dollars per Visit",#N/A,TRUE,"Optimal";"OM Total Visits",#N/A,TRUE,"Optimal";"OM PMPM",#N/A,TRUE,"Optimal"}</definedName>
    <definedName name="wrn.Adjusted._.Optimal." localSheetId="57" hidden="1">{"OM Visits",#N/A,TRUE,"Optimal";"OM Dollars per Hour",#N/A,TRUE,"Optimal";"OM Hours per Visit",#N/A,TRUE,"Optimal";"OM Dollars per Visit",#N/A,TRUE,"Optimal";"OM Total Visits",#N/A,TRUE,"Optimal";"OM PMPM",#N/A,TRUE,"Optimal"}</definedName>
    <definedName name="wrn.Adjusted._.Optimal." localSheetId="59" hidden="1">{"OM Visits",#N/A,TRUE,"Optimal";"OM Dollars per Hour",#N/A,TRUE,"Optimal";"OM Hours per Visit",#N/A,TRUE,"Optimal";"OM Dollars per Visit",#N/A,TRUE,"Optimal";"OM Total Visits",#N/A,TRUE,"Optimal";"OM PMPM",#N/A,TRUE,"Optimal"}</definedName>
    <definedName name="wrn.Adjusted._.Optimal." localSheetId="61" hidden="1">{"OM Visits",#N/A,TRUE,"Optimal";"OM Dollars per Hour",#N/A,TRUE,"Optimal";"OM Hours per Visit",#N/A,TRUE,"Optimal";"OM Dollars per Visit",#N/A,TRUE,"Optimal";"OM Total Visits",#N/A,TRUE,"Optimal";"OM PMPM",#N/A,TRUE,"Optimal"}</definedName>
    <definedName name="wrn.Adjusted._.Optimal." localSheetId="63" hidden="1">{"OM Visits",#N/A,TRUE,"Optimal";"OM Dollars per Hour",#N/A,TRUE,"Optimal";"OM Hours per Visit",#N/A,TRUE,"Optimal";"OM Dollars per Visit",#N/A,TRUE,"Optimal";"OM Total Visits",#N/A,TRUE,"Optimal";"OM PMPM",#N/A,TRUE,"Optimal"}</definedName>
    <definedName name="wrn.Adjusted._.Optimal." localSheetId="65" hidden="1">{"OM Visits",#N/A,TRUE,"Optimal";"OM Dollars per Hour",#N/A,TRUE,"Optimal";"OM Hours per Visit",#N/A,TRUE,"Optimal";"OM Dollars per Visit",#N/A,TRUE,"Optimal";"OM Total Visits",#N/A,TRUE,"Optimal";"OM PMPM",#N/A,TRUE,"Optimal"}</definedName>
    <definedName name="wrn.Adjusted._.Optimal." localSheetId="67" hidden="1">{"OM Visits",#N/A,TRUE,"Optimal";"OM Dollars per Hour",#N/A,TRUE,"Optimal";"OM Hours per Visit",#N/A,TRUE,"Optimal";"OM Dollars per Visit",#N/A,TRUE,"Optimal";"OM Total Visits",#N/A,TRUE,"Optimal";"OM PMPM",#N/A,TRUE,"Optimal"}</definedName>
    <definedName name="wrn.Adjusted._.Optimal." localSheetId="52" hidden="1">{"OM Visits",#N/A,TRUE,"Optimal";"OM Dollars per Hour",#N/A,TRUE,"Optimal";"OM Hours per Visit",#N/A,TRUE,"Optimal";"OM Dollars per Visit",#N/A,TRUE,"Optimal";"OM Total Visits",#N/A,TRUE,"Optimal";"OM PMPM",#N/A,TRUE,"Optimal"}</definedName>
    <definedName name="wrn.Adjusted._.Optimal." localSheetId="68" hidden="1">{"OM Visits",#N/A,TRUE,"Optimal";"OM Dollars per Hour",#N/A,TRUE,"Optimal";"OM Hours per Visit",#N/A,TRUE,"Optimal";"OM Dollars per Visit",#N/A,TRUE,"Optimal";"OM Total Visits",#N/A,TRUE,"Optimal";"OM PMPM",#N/A,TRUE,"Optimal"}</definedName>
    <definedName name="wrn.Adjusted._.Optimal." localSheetId="74" hidden="1">{"OM Visits",#N/A,TRUE,"Optimal";"OM Dollars per Hour",#N/A,TRUE,"Optimal";"OM Hours per Visit",#N/A,TRUE,"Optimal";"OM Dollars per Visit",#N/A,TRUE,"Optimal";"OM Total Visits",#N/A,TRUE,"Optimal";"OM PMPM",#N/A,TRUE,"Optimal"}</definedName>
    <definedName name="wrn.Adjusted._.Optimal." localSheetId="54" hidden="1">{"OM Visits",#N/A,TRUE,"Optimal";"OM Dollars per Hour",#N/A,TRUE,"Optimal";"OM Hours per Visit",#N/A,TRUE,"Optimal";"OM Dollars per Visit",#N/A,TRUE,"Optimal";"OM Total Visits",#N/A,TRUE,"Optimal";"OM PMPM",#N/A,TRUE,"Optimal"}</definedName>
    <definedName name="wrn.Adjusted._.Optimal." localSheetId="56" hidden="1">{"OM Visits",#N/A,TRUE,"Optimal";"OM Dollars per Hour",#N/A,TRUE,"Optimal";"OM Hours per Visit",#N/A,TRUE,"Optimal";"OM Dollars per Visit",#N/A,TRUE,"Optimal";"OM Total Visits",#N/A,TRUE,"Optimal";"OM PMPM",#N/A,TRUE,"Optimal"}</definedName>
    <definedName name="wrn.Adjusted._.Optimal." localSheetId="58" hidden="1">{"OM Visits",#N/A,TRUE,"Optimal";"OM Dollars per Hour",#N/A,TRUE,"Optimal";"OM Hours per Visit",#N/A,TRUE,"Optimal";"OM Dollars per Visit",#N/A,TRUE,"Optimal";"OM Total Visits",#N/A,TRUE,"Optimal";"OM PMPM",#N/A,TRUE,"Optimal"}</definedName>
    <definedName name="wrn.Adjusted._.Optimal." localSheetId="60" hidden="1">{"OM Visits",#N/A,TRUE,"Optimal";"OM Dollars per Hour",#N/A,TRUE,"Optimal";"OM Hours per Visit",#N/A,TRUE,"Optimal";"OM Dollars per Visit",#N/A,TRUE,"Optimal";"OM Total Visits",#N/A,TRUE,"Optimal";"OM PMPM",#N/A,TRUE,"Optimal"}</definedName>
    <definedName name="wrn.Adjusted._.Optimal." localSheetId="62" hidden="1">{"OM Visits",#N/A,TRUE,"Optimal";"OM Dollars per Hour",#N/A,TRUE,"Optimal";"OM Hours per Visit",#N/A,TRUE,"Optimal";"OM Dollars per Visit",#N/A,TRUE,"Optimal";"OM Total Visits",#N/A,TRUE,"Optimal";"OM PMPM",#N/A,TRUE,"Optimal"}</definedName>
    <definedName name="wrn.Adjusted._.Optimal." localSheetId="64" hidden="1">{"OM Visits",#N/A,TRUE,"Optimal";"OM Dollars per Hour",#N/A,TRUE,"Optimal";"OM Hours per Visit",#N/A,TRUE,"Optimal";"OM Dollars per Visit",#N/A,TRUE,"Optimal";"OM Total Visits",#N/A,TRUE,"Optimal";"OM PMPM",#N/A,TRUE,"Optimal"}</definedName>
    <definedName name="wrn.Adjusted._.Optimal." localSheetId="66" hidden="1">{"OM Visits",#N/A,TRUE,"Optimal";"OM Dollars per Hour",#N/A,TRUE,"Optimal";"OM Hours per Visit",#N/A,TRUE,"Optimal";"OM Dollars per Visit",#N/A,TRUE,"Optimal";"OM Total Visits",#N/A,TRUE,"Optimal";"OM PMPM",#N/A,TRUE,"Optimal"}</definedName>
    <definedName name="wrn.Adjusted._.Optimal." localSheetId="78" hidden="1">{"OM Visits",#N/A,TRUE,"Optimal";"OM Dollars per Hour",#N/A,TRUE,"Optimal";"OM Hours per Visit",#N/A,TRUE,"Optimal";"OM Dollars per Visit",#N/A,TRUE,"Optimal";"OM Total Visits",#N/A,TRUE,"Optimal";"OM PMPM",#N/A,TRUE,"Optimal"}</definedName>
    <definedName name="wrn.Adjusted._.Optimal." localSheetId="80" hidden="1">{"OM Visits",#N/A,TRUE,"Optimal";"OM Dollars per Hour",#N/A,TRUE,"Optimal";"OM Hours per Visit",#N/A,TRUE,"Optimal";"OM Dollars per Visit",#N/A,TRUE,"Optimal";"OM Total Visits",#N/A,TRUE,"Optimal";"OM PMPM",#N/A,TRUE,"Optimal"}</definedName>
    <definedName name="wrn.Adjusted._.Optimal." localSheetId="82" hidden="1">{"OM Visits",#N/A,TRUE,"Optimal";"OM Dollars per Hour",#N/A,TRUE,"Optimal";"OM Hours per Visit",#N/A,TRUE,"Optimal";"OM Dollars per Visit",#N/A,TRUE,"Optimal";"OM Total Visits",#N/A,TRUE,"Optimal";"OM PMPM",#N/A,TRUE,"Optimal"}</definedName>
    <definedName name="wrn.Adjusted._.Optimal." localSheetId="85" hidden="1">{"OM Visits",#N/A,TRUE,"Optimal";"OM Dollars per Hour",#N/A,TRUE,"Optimal";"OM Hours per Visit",#N/A,TRUE,"Optimal";"OM Dollars per Visit",#N/A,TRUE,"Optimal";"OM Total Visits",#N/A,TRUE,"Optimal";"OM PMPM",#N/A,TRUE,"Optimal"}</definedName>
    <definedName name="wrn.Adjusted._.Optimal." localSheetId="87" hidden="1">{"OM Visits",#N/A,TRUE,"Optimal";"OM Dollars per Hour",#N/A,TRUE,"Optimal";"OM Hours per Visit",#N/A,TRUE,"Optimal";"OM Dollars per Visit",#N/A,TRUE,"Optimal";"OM Total Visits",#N/A,TRUE,"Optimal";"OM PMPM",#N/A,TRUE,"Optimal"}</definedName>
    <definedName name="wrn.Adjusted._.Optimal." localSheetId="77" hidden="1">{"OM Visits",#N/A,TRUE,"Optimal";"OM Dollars per Hour",#N/A,TRUE,"Optimal";"OM Hours per Visit",#N/A,TRUE,"Optimal";"OM Dollars per Visit",#N/A,TRUE,"Optimal";"OM Total Visits",#N/A,TRUE,"Optimal";"OM PMPM",#N/A,TRUE,"Optimal"}</definedName>
    <definedName name="wrn.Adjusted._.Optimal." localSheetId="79" hidden="1">{"OM Visits",#N/A,TRUE,"Optimal";"OM Dollars per Hour",#N/A,TRUE,"Optimal";"OM Hours per Visit",#N/A,TRUE,"Optimal";"OM Dollars per Visit",#N/A,TRUE,"Optimal";"OM Total Visits",#N/A,TRUE,"Optimal";"OM PMPM",#N/A,TRUE,"Optimal"}</definedName>
    <definedName name="wrn.Adjusted._.Optimal." localSheetId="81" hidden="1">{"OM Visits",#N/A,TRUE,"Optimal";"OM Dollars per Hour",#N/A,TRUE,"Optimal";"OM Hours per Visit",#N/A,TRUE,"Optimal";"OM Dollars per Visit",#N/A,TRUE,"Optimal";"OM Total Visits",#N/A,TRUE,"Optimal";"OM PMPM",#N/A,TRUE,"Optimal"}</definedName>
    <definedName name="wrn.Adjusted._.Optimal." localSheetId="83" hidden="1">{"OM Visits",#N/A,TRUE,"Optimal";"OM Dollars per Hour",#N/A,TRUE,"Optimal";"OM Hours per Visit",#N/A,TRUE,"Optimal";"OM Dollars per Visit",#N/A,TRUE,"Optimal";"OM Total Visits",#N/A,TRUE,"Optimal";"OM PMPM",#N/A,TRUE,"Optimal"}</definedName>
    <definedName name="wrn.Adjusted._.Optimal." localSheetId="84" hidden="1">{"OM Visits",#N/A,TRUE,"Optimal";"OM Dollars per Hour",#N/A,TRUE,"Optimal";"OM Hours per Visit",#N/A,TRUE,"Optimal";"OM Dollars per Visit",#N/A,TRUE,"Optimal";"OM Total Visits",#N/A,TRUE,"Optimal";"OM PMPM",#N/A,TRUE,"Optimal"}</definedName>
    <definedName name="wrn.Adjusted._.Optimal." localSheetId="86"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3" hidden="1">{"UM Visits",#N/A,FALSE,"Unmanaged";"UM Dollars per Hour",#N/A,FALSE,"Unmanaged";"UM Hours per Visit",#N/A,FALSE,"Unmanaged";"UM Dollars per Visit",#N/A,FALSE,"Unmanaged";"UM Total Visits",#N/A,FALSE,"Unmanaged";"UM PMPM",#N/A,FALSE,"Unmanaged"}</definedName>
    <definedName name="wrn.Adjusted._.Unmanaged." localSheetId="2" hidden="1">{"UM Visits",#N/A,FALSE,"Unmanaged";"UM Dollars per Hour",#N/A,FALSE,"Unmanaged";"UM Hours per Visit",#N/A,FALSE,"Unmanaged";"UM Dollars per Visit",#N/A,FALSE,"Unmanaged";"UM Total Visits",#N/A,FALSE,"Unmanaged";"UM PMPM",#N/A,FALSE,"Unmanaged"}</definedName>
    <definedName name="wrn.Adjusted._.Unmanaged." localSheetId="6" hidden="1">{"UM Visits",#N/A,FALSE,"Unmanaged";"UM Dollars per Hour",#N/A,FALSE,"Unmanaged";"UM Hours per Visit",#N/A,FALSE,"Unmanaged";"UM Dollars per Visit",#N/A,FALSE,"Unmanaged";"UM Total Visits",#N/A,FALSE,"Unmanaged";"UM PMPM",#N/A,FALSE,"Unmanaged"}</definedName>
    <definedName name="wrn.Adjusted._.Unmanaged." localSheetId="14" hidden="1">{"UM Visits",#N/A,FALSE,"Unmanaged";"UM Dollars per Hour",#N/A,FALSE,"Unmanaged";"UM Hours per Visit",#N/A,FALSE,"Unmanaged";"UM Dollars per Visit",#N/A,FALSE,"Unmanaged";"UM Total Visits",#N/A,FALSE,"Unmanaged";"UM PMPM",#N/A,FALSE,"Unmanaged"}</definedName>
    <definedName name="wrn.Adjusted._.Unmanaged." localSheetId="16" hidden="1">{"UM Visits",#N/A,FALSE,"Unmanaged";"UM Dollars per Hour",#N/A,FALSE,"Unmanaged";"UM Hours per Visit",#N/A,FALSE,"Unmanaged";"UM Dollars per Visit",#N/A,FALSE,"Unmanaged";"UM Total Visits",#N/A,FALSE,"Unmanaged";"UM PMPM",#N/A,FALSE,"Unmanaged"}</definedName>
    <definedName name="wrn.Adjusted._.Unmanaged." localSheetId="18" hidden="1">{"UM Visits",#N/A,FALSE,"Unmanaged";"UM Dollars per Hour",#N/A,FALSE,"Unmanaged";"UM Hours per Visit",#N/A,FALSE,"Unmanaged";"UM Dollars per Visit",#N/A,FALSE,"Unmanaged";"UM Total Visits",#N/A,FALSE,"Unmanaged";"UM PMPM",#N/A,FALSE,"Unmanaged"}</definedName>
    <definedName name="wrn.Adjusted._.Unmanaged." localSheetId="20" hidden="1">{"UM Visits",#N/A,FALSE,"Unmanaged";"UM Dollars per Hour",#N/A,FALSE,"Unmanaged";"UM Hours per Visit",#N/A,FALSE,"Unmanaged";"UM Dollars per Visit",#N/A,FALSE,"Unmanaged";"UM Total Visits",#N/A,FALSE,"Unmanaged";"UM PMPM",#N/A,FALSE,"Unmanaged"}</definedName>
    <definedName name="wrn.Adjusted._.Unmanaged." localSheetId="22" hidden="1">{"UM Visits",#N/A,FALSE,"Unmanaged";"UM Dollars per Hour",#N/A,FALSE,"Unmanaged";"UM Hours per Visit",#N/A,FALSE,"Unmanaged";"UM Dollars per Visit",#N/A,FALSE,"Unmanaged";"UM Total Visits",#N/A,FALSE,"Unmanaged";"UM PMPM",#N/A,FALSE,"Unmanaged"}</definedName>
    <definedName name="wrn.Adjusted._.Unmanaged." localSheetId="24" hidden="1">{"UM Visits",#N/A,FALSE,"Unmanaged";"UM Dollars per Hour",#N/A,FALSE,"Unmanaged";"UM Hours per Visit",#N/A,FALSE,"Unmanaged";"UM Dollars per Visit",#N/A,FALSE,"Unmanaged";"UM Total Visits",#N/A,FALSE,"Unmanaged";"UM PMPM",#N/A,FALSE,"Unmanaged"}</definedName>
    <definedName name="wrn.Adjusted._.Unmanaged." localSheetId="26" hidden="1">{"UM Visits",#N/A,FALSE,"Unmanaged";"UM Dollars per Hour",#N/A,FALSE,"Unmanaged";"UM Hours per Visit",#N/A,FALSE,"Unmanaged";"UM Dollars per Visit",#N/A,FALSE,"Unmanaged";"UM Total Visits",#N/A,FALSE,"Unmanaged";"UM PMPM",#N/A,FALSE,"Unmanaged"}</definedName>
    <definedName name="wrn.Adjusted._.Unmanaged." localSheetId="28" hidden="1">{"UM Visits",#N/A,FALSE,"Unmanaged";"UM Dollars per Hour",#N/A,FALSE,"Unmanaged";"UM Hours per Visit",#N/A,FALSE,"Unmanaged";"UM Dollars per Visit",#N/A,FALSE,"Unmanaged";"UM Total Visits",#N/A,FALSE,"Unmanaged";"UM PMPM",#N/A,FALSE,"Unmanaged"}</definedName>
    <definedName name="wrn.Adjusted._.Unmanaged." localSheetId="30" hidden="1">{"UM Visits",#N/A,FALSE,"Unmanaged";"UM Dollars per Hour",#N/A,FALSE,"Unmanaged";"UM Hours per Visit",#N/A,FALSE,"Unmanaged";"UM Dollars per Visit",#N/A,FALSE,"Unmanaged";"UM Total Visits",#N/A,FALSE,"Unmanaged";"UM PMPM",#N/A,FALSE,"Unmanaged"}</definedName>
    <definedName name="wrn.Adjusted._.Unmanaged." localSheetId="32" hidden="1">{"UM Visits",#N/A,FALSE,"Unmanaged";"UM Dollars per Hour",#N/A,FALSE,"Unmanaged";"UM Hours per Visit",#N/A,FALSE,"Unmanaged";"UM Dollars per Visit",#N/A,FALSE,"Unmanaged";"UM Total Visits",#N/A,FALSE,"Unmanaged";"UM PMPM",#N/A,FALSE,"Unmanaged"}</definedName>
    <definedName name="wrn.Adjusted._.Unmanaged." localSheetId="34" hidden="1">{"UM Visits",#N/A,FALSE,"Unmanaged";"UM Dollars per Hour",#N/A,FALSE,"Unmanaged";"UM Hours per Visit",#N/A,FALSE,"Unmanaged";"UM Dollars per Visit",#N/A,FALSE,"Unmanaged";"UM Total Visits",#N/A,FALSE,"Unmanaged";"UM PMPM",#N/A,FALSE,"Unmanaged"}</definedName>
    <definedName name="wrn.Adjusted._.Unmanaged." localSheetId="36" hidden="1">{"UM Visits",#N/A,FALSE,"Unmanaged";"UM Dollars per Hour",#N/A,FALSE,"Unmanaged";"UM Hours per Visit",#N/A,FALSE,"Unmanaged";"UM Dollars per Visit",#N/A,FALSE,"Unmanaged";"UM Total Visits",#N/A,FALSE,"Unmanaged";"UM PMPM",#N/A,FALSE,"Unmanaged"}</definedName>
    <definedName name="wrn.Adjusted._.Unmanaged." localSheetId="38" hidden="1">{"UM Visits",#N/A,FALSE,"Unmanaged";"UM Dollars per Hour",#N/A,FALSE,"Unmanaged";"UM Hours per Visit",#N/A,FALSE,"Unmanaged";"UM Dollars per Visit",#N/A,FALSE,"Unmanaged";"UM Total Visits",#N/A,FALSE,"Unmanaged";"UM PMPM",#N/A,FALSE,"Unmanaged"}</definedName>
    <definedName name="wrn.Adjusted._.Unmanaged." localSheetId="42" hidden="1">{"UM Visits",#N/A,FALSE,"Unmanaged";"UM Dollars per Hour",#N/A,FALSE,"Unmanaged";"UM Hours per Visit",#N/A,FALSE,"Unmanaged";"UM Dollars per Visit",#N/A,FALSE,"Unmanaged";"UM Total Visits",#N/A,FALSE,"Unmanaged";"UM PMPM",#N/A,FALSE,"Unmanaged"}</definedName>
    <definedName name="wrn.Adjusted._.Unmanaged." localSheetId="44" hidden="1">{"UM Visits",#N/A,FALSE,"Unmanaged";"UM Dollars per Hour",#N/A,FALSE,"Unmanaged";"UM Hours per Visit",#N/A,FALSE,"Unmanaged";"UM Dollars per Visit",#N/A,FALSE,"Unmanaged";"UM Total Visits",#N/A,FALSE,"Unmanaged";"UM PMPM",#N/A,FALSE,"Unmanaged"}</definedName>
    <definedName name="wrn.Adjusted._.Unmanaged." localSheetId="46" hidden="1">{"UM Visits",#N/A,FALSE,"Unmanaged";"UM Dollars per Hour",#N/A,FALSE,"Unmanaged";"UM Hours per Visit",#N/A,FALSE,"Unmanaged";"UM Dollars per Visit",#N/A,FALSE,"Unmanaged";"UM Total Visits",#N/A,FALSE,"Unmanaged";"UM PMPM",#N/A,FALSE,"Unmanaged"}</definedName>
    <definedName name="wrn.Adjusted._.Unmanaged." localSheetId="8" hidden="1">{"UM Visits",#N/A,FALSE,"Unmanaged";"UM Dollars per Hour",#N/A,FALSE,"Unmanaged";"UM Hours per Visit",#N/A,FALSE,"Unmanaged";"UM Dollars per Visit",#N/A,FALSE,"Unmanaged";"UM Total Visits",#N/A,FALSE,"Unmanaged";"UM PMPM",#N/A,FALSE,"Unmanaged"}</definedName>
    <definedName name="wrn.Adjusted._.Unmanaged." localSheetId="10" hidden="1">{"UM Visits",#N/A,FALSE,"Unmanaged";"UM Dollars per Hour",#N/A,FALSE,"Unmanaged";"UM Hours per Visit",#N/A,FALSE,"Unmanaged";"UM Dollars per Visit",#N/A,FALSE,"Unmanaged";"UM Total Visits",#N/A,FALSE,"Unmanaged";"UM PMPM",#N/A,FALSE,"Unmanaged"}</definedName>
    <definedName name="wrn.Adjusted._.Unmanaged." localSheetId="12" hidden="1">{"UM Visits",#N/A,FALSE,"Unmanaged";"UM Dollars per Hour",#N/A,FALSE,"Unmanaged";"UM Hours per Visit",#N/A,FALSE,"Unmanaged";"UM Dollars per Visit",#N/A,FALSE,"Unmanaged";"UM Total Visits",#N/A,FALSE,"Unmanaged";"UM PMPM",#N/A,FALSE,"Unmanaged"}</definedName>
    <definedName name="wrn.Adjusted._.Unmanaged." localSheetId="5" hidden="1">{"UM Visits",#N/A,FALSE,"Unmanaged";"UM Dollars per Hour",#N/A,FALSE,"Unmanaged";"UM Hours per Visit",#N/A,FALSE,"Unmanaged";"UM Dollars per Visit",#N/A,FALSE,"Unmanaged";"UM Total Visits",#N/A,FALSE,"Unmanaged";"UM PMPM",#N/A,FALSE,"Unmanaged"}</definedName>
    <definedName name="wrn.Adjusted._.Unmanaged." localSheetId="13" hidden="1">{"UM Visits",#N/A,FALSE,"Unmanaged";"UM Dollars per Hour",#N/A,FALSE,"Unmanaged";"UM Hours per Visit",#N/A,FALSE,"Unmanaged";"UM Dollars per Visit",#N/A,FALSE,"Unmanaged";"UM Total Visits",#N/A,FALSE,"Unmanaged";"UM PMPM",#N/A,FALSE,"Unmanaged"}</definedName>
    <definedName name="wrn.Adjusted._.Unmanaged." localSheetId="15" hidden="1">{"UM Visits",#N/A,FALSE,"Unmanaged";"UM Dollars per Hour",#N/A,FALSE,"Unmanaged";"UM Hours per Visit",#N/A,FALSE,"Unmanaged";"UM Dollars per Visit",#N/A,FALSE,"Unmanaged";"UM Total Visits",#N/A,FALSE,"Unmanaged";"UM PMPM",#N/A,FALSE,"Unmanaged"}</definedName>
    <definedName name="wrn.Adjusted._.Unmanaged." localSheetId="17" hidden="1">{"UM Visits",#N/A,FALSE,"Unmanaged";"UM Dollars per Hour",#N/A,FALSE,"Unmanaged";"UM Hours per Visit",#N/A,FALSE,"Unmanaged";"UM Dollars per Visit",#N/A,FALSE,"Unmanaged";"UM Total Visits",#N/A,FALSE,"Unmanaged";"UM PMPM",#N/A,FALSE,"Unmanaged"}</definedName>
    <definedName name="wrn.Adjusted._.Unmanaged." localSheetId="19" hidden="1">{"UM Visits",#N/A,FALSE,"Unmanaged";"UM Dollars per Hour",#N/A,FALSE,"Unmanaged";"UM Hours per Visit",#N/A,FALSE,"Unmanaged";"UM Dollars per Visit",#N/A,FALSE,"Unmanaged";"UM Total Visits",#N/A,FALSE,"Unmanaged";"UM PMPM",#N/A,FALSE,"Unmanaged"}</definedName>
    <definedName name="wrn.Adjusted._.Unmanaged." localSheetId="21" hidden="1">{"UM Visits",#N/A,FALSE,"Unmanaged";"UM Dollars per Hour",#N/A,FALSE,"Unmanaged";"UM Hours per Visit",#N/A,FALSE,"Unmanaged";"UM Dollars per Visit",#N/A,FALSE,"Unmanaged";"UM Total Visits",#N/A,FALSE,"Unmanaged";"UM PMPM",#N/A,FALSE,"Unmanaged"}</definedName>
    <definedName name="wrn.Adjusted._.Unmanaged." localSheetId="23" hidden="1">{"UM Visits",#N/A,FALSE,"Unmanaged";"UM Dollars per Hour",#N/A,FALSE,"Unmanaged";"UM Hours per Visit",#N/A,FALSE,"Unmanaged";"UM Dollars per Visit",#N/A,FALSE,"Unmanaged";"UM Total Visits",#N/A,FALSE,"Unmanaged";"UM PMPM",#N/A,FALSE,"Unmanaged"}</definedName>
    <definedName name="wrn.Adjusted._.Unmanaged." localSheetId="25" hidden="1">{"UM Visits",#N/A,FALSE,"Unmanaged";"UM Dollars per Hour",#N/A,FALSE,"Unmanaged";"UM Hours per Visit",#N/A,FALSE,"Unmanaged";"UM Dollars per Visit",#N/A,FALSE,"Unmanaged";"UM Total Visits",#N/A,FALSE,"Unmanaged";"UM PMPM",#N/A,FALSE,"Unmanaged"}</definedName>
    <definedName name="wrn.Adjusted._.Unmanaged." localSheetId="27" hidden="1">{"UM Visits",#N/A,FALSE,"Unmanaged";"UM Dollars per Hour",#N/A,FALSE,"Unmanaged";"UM Hours per Visit",#N/A,FALSE,"Unmanaged";"UM Dollars per Visit",#N/A,FALSE,"Unmanaged";"UM Total Visits",#N/A,FALSE,"Unmanaged";"UM PMPM",#N/A,FALSE,"Unmanaged"}</definedName>
    <definedName name="wrn.Adjusted._.Unmanaged." localSheetId="29" hidden="1">{"UM Visits",#N/A,FALSE,"Unmanaged";"UM Dollars per Hour",#N/A,FALSE,"Unmanaged";"UM Hours per Visit",#N/A,FALSE,"Unmanaged";"UM Dollars per Visit",#N/A,FALSE,"Unmanaged";"UM Total Visits",#N/A,FALSE,"Unmanaged";"UM PMPM",#N/A,FALSE,"Unmanaged"}</definedName>
    <definedName name="wrn.Adjusted._.Unmanaged." localSheetId="31" hidden="1">{"UM Visits",#N/A,FALSE,"Unmanaged";"UM Dollars per Hour",#N/A,FALSE,"Unmanaged";"UM Hours per Visit",#N/A,FALSE,"Unmanaged";"UM Dollars per Visit",#N/A,FALSE,"Unmanaged";"UM Total Visits",#N/A,FALSE,"Unmanaged";"UM PMPM",#N/A,FALSE,"Unmanaged"}</definedName>
    <definedName name="wrn.Adjusted._.Unmanaged." localSheetId="33" hidden="1">{"UM Visits",#N/A,FALSE,"Unmanaged";"UM Dollars per Hour",#N/A,FALSE,"Unmanaged";"UM Hours per Visit",#N/A,FALSE,"Unmanaged";"UM Dollars per Visit",#N/A,FALSE,"Unmanaged";"UM Total Visits",#N/A,FALSE,"Unmanaged";"UM PMPM",#N/A,FALSE,"Unmanaged"}</definedName>
    <definedName name="wrn.Adjusted._.Unmanaged." localSheetId="35" hidden="1">{"UM Visits",#N/A,FALSE,"Unmanaged";"UM Dollars per Hour",#N/A,FALSE,"Unmanaged";"UM Hours per Visit",#N/A,FALSE,"Unmanaged";"UM Dollars per Visit",#N/A,FALSE,"Unmanaged";"UM Total Visits",#N/A,FALSE,"Unmanaged";"UM PMPM",#N/A,FALSE,"Unmanaged"}</definedName>
    <definedName name="wrn.Adjusted._.Unmanaged." localSheetId="37" hidden="1">{"UM Visits",#N/A,FALSE,"Unmanaged";"UM Dollars per Hour",#N/A,FALSE,"Unmanaged";"UM Hours per Visit",#N/A,FALSE,"Unmanaged";"UM Dollars per Visit",#N/A,FALSE,"Unmanaged";"UM Total Visits",#N/A,FALSE,"Unmanaged";"UM PMPM",#N/A,FALSE,"Unmanaged"}</definedName>
    <definedName name="wrn.Adjusted._.Unmanaged." localSheetId="41" hidden="1">{"UM Visits",#N/A,FALSE,"Unmanaged";"UM Dollars per Hour",#N/A,FALSE,"Unmanaged";"UM Hours per Visit",#N/A,FALSE,"Unmanaged";"UM Dollars per Visit",#N/A,FALSE,"Unmanaged";"UM Total Visits",#N/A,FALSE,"Unmanaged";"UM PMPM",#N/A,FALSE,"Unmanaged"}</definedName>
    <definedName name="wrn.Adjusted._.Unmanaged." localSheetId="43" hidden="1">{"UM Visits",#N/A,FALSE,"Unmanaged";"UM Dollars per Hour",#N/A,FALSE,"Unmanaged";"UM Hours per Visit",#N/A,FALSE,"Unmanaged";"UM Dollars per Visit",#N/A,FALSE,"Unmanaged";"UM Total Visits",#N/A,FALSE,"Unmanaged";"UM PMPM",#N/A,FALSE,"Unmanaged"}</definedName>
    <definedName name="wrn.Adjusted._.Unmanaged." localSheetId="45" hidden="1">{"UM Visits",#N/A,FALSE,"Unmanaged";"UM Dollars per Hour",#N/A,FALSE,"Unmanaged";"UM Hours per Visit",#N/A,FALSE,"Unmanaged";"UM Dollars per Visit",#N/A,FALSE,"Unmanaged";"UM Total Visits",#N/A,FALSE,"Unmanaged";"UM PMPM",#N/A,FALSE,"Unmanaged"}</definedName>
    <definedName name="wrn.Adjusted._.Unmanaged." localSheetId="7" hidden="1">{"UM Visits",#N/A,FALSE,"Unmanaged";"UM Dollars per Hour",#N/A,FALSE,"Unmanaged";"UM Hours per Visit",#N/A,FALSE,"Unmanaged";"UM Dollars per Visit",#N/A,FALSE,"Unmanaged";"UM Total Visits",#N/A,FALSE,"Unmanaged";"UM PMPM",#N/A,FALSE,"Unmanaged"}</definedName>
    <definedName name="wrn.Adjusted._.Unmanaged." localSheetId="9" hidden="1">{"UM Visits",#N/A,FALSE,"Unmanaged";"UM Dollars per Hour",#N/A,FALSE,"Unmanaged";"UM Hours per Visit",#N/A,FALSE,"Unmanaged";"UM Dollars per Visit",#N/A,FALSE,"Unmanaged";"UM Total Visits",#N/A,FALSE,"Unmanaged";"UM PMPM",#N/A,FALSE,"Unmanaged"}</definedName>
    <definedName name="wrn.Adjusted._.Unmanaged." localSheetId="11" hidden="1">{"UM Visits",#N/A,FALSE,"Unmanaged";"UM Dollars per Hour",#N/A,FALSE,"Unmanaged";"UM Hours per Visit",#N/A,FALSE,"Unmanaged";"UM Dollars per Visit",#N/A,FALSE,"Unmanaged";"UM Total Visits",#N/A,FALSE,"Unmanaged";"UM PMPM",#N/A,FALSE,"Unmanaged"}</definedName>
    <definedName name="wrn.Adjusted._.Unmanaged." localSheetId="53" hidden="1">{"UM Visits",#N/A,FALSE,"Unmanaged";"UM Dollars per Hour",#N/A,FALSE,"Unmanaged";"UM Hours per Visit",#N/A,FALSE,"Unmanaged";"UM Dollars per Visit",#N/A,FALSE,"Unmanaged";"UM Total Visits",#N/A,FALSE,"Unmanaged";"UM PMPM",#N/A,FALSE,"Unmanaged"}</definedName>
    <definedName name="wrn.Adjusted._.Unmanaged." localSheetId="69" hidden="1">{"UM Visits",#N/A,FALSE,"Unmanaged";"UM Dollars per Hour",#N/A,FALSE,"Unmanaged";"UM Hours per Visit",#N/A,FALSE,"Unmanaged";"UM Dollars per Visit",#N/A,FALSE,"Unmanaged";"UM Total Visits",#N/A,FALSE,"Unmanaged";"UM PMPM",#N/A,FALSE,"Unmanaged"}</definedName>
    <definedName name="wrn.Adjusted._.Unmanaged." localSheetId="75" hidden="1">{"UM Visits",#N/A,FALSE,"Unmanaged";"UM Dollars per Hour",#N/A,FALSE,"Unmanaged";"UM Hours per Visit",#N/A,FALSE,"Unmanaged";"UM Dollars per Visit",#N/A,FALSE,"Unmanaged";"UM Total Visits",#N/A,FALSE,"Unmanaged";"UM PMPM",#N/A,FALSE,"Unmanaged"}</definedName>
    <definedName name="wrn.Adjusted._.Unmanaged." localSheetId="55" hidden="1">{"UM Visits",#N/A,FALSE,"Unmanaged";"UM Dollars per Hour",#N/A,FALSE,"Unmanaged";"UM Hours per Visit",#N/A,FALSE,"Unmanaged";"UM Dollars per Visit",#N/A,FALSE,"Unmanaged";"UM Total Visits",#N/A,FALSE,"Unmanaged";"UM PMPM",#N/A,FALSE,"Unmanaged"}</definedName>
    <definedName name="wrn.Adjusted._.Unmanaged." localSheetId="57" hidden="1">{"UM Visits",#N/A,FALSE,"Unmanaged";"UM Dollars per Hour",#N/A,FALSE,"Unmanaged";"UM Hours per Visit",#N/A,FALSE,"Unmanaged";"UM Dollars per Visit",#N/A,FALSE,"Unmanaged";"UM Total Visits",#N/A,FALSE,"Unmanaged";"UM PMPM",#N/A,FALSE,"Unmanaged"}</definedName>
    <definedName name="wrn.Adjusted._.Unmanaged." localSheetId="59" hidden="1">{"UM Visits",#N/A,FALSE,"Unmanaged";"UM Dollars per Hour",#N/A,FALSE,"Unmanaged";"UM Hours per Visit",#N/A,FALSE,"Unmanaged";"UM Dollars per Visit",#N/A,FALSE,"Unmanaged";"UM Total Visits",#N/A,FALSE,"Unmanaged";"UM PMPM",#N/A,FALSE,"Unmanaged"}</definedName>
    <definedName name="wrn.Adjusted._.Unmanaged." localSheetId="61" hidden="1">{"UM Visits",#N/A,FALSE,"Unmanaged";"UM Dollars per Hour",#N/A,FALSE,"Unmanaged";"UM Hours per Visit",#N/A,FALSE,"Unmanaged";"UM Dollars per Visit",#N/A,FALSE,"Unmanaged";"UM Total Visits",#N/A,FALSE,"Unmanaged";"UM PMPM",#N/A,FALSE,"Unmanaged"}</definedName>
    <definedName name="wrn.Adjusted._.Unmanaged." localSheetId="63" hidden="1">{"UM Visits",#N/A,FALSE,"Unmanaged";"UM Dollars per Hour",#N/A,FALSE,"Unmanaged";"UM Hours per Visit",#N/A,FALSE,"Unmanaged";"UM Dollars per Visit",#N/A,FALSE,"Unmanaged";"UM Total Visits",#N/A,FALSE,"Unmanaged";"UM PMPM",#N/A,FALSE,"Unmanaged"}</definedName>
    <definedName name="wrn.Adjusted._.Unmanaged." localSheetId="65" hidden="1">{"UM Visits",#N/A,FALSE,"Unmanaged";"UM Dollars per Hour",#N/A,FALSE,"Unmanaged";"UM Hours per Visit",#N/A,FALSE,"Unmanaged";"UM Dollars per Visit",#N/A,FALSE,"Unmanaged";"UM Total Visits",#N/A,FALSE,"Unmanaged";"UM PMPM",#N/A,FALSE,"Unmanaged"}</definedName>
    <definedName name="wrn.Adjusted._.Unmanaged." localSheetId="67" hidden="1">{"UM Visits",#N/A,FALSE,"Unmanaged";"UM Dollars per Hour",#N/A,FALSE,"Unmanaged";"UM Hours per Visit",#N/A,FALSE,"Unmanaged";"UM Dollars per Visit",#N/A,FALSE,"Unmanaged";"UM Total Visits",#N/A,FALSE,"Unmanaged";"UM PMPM",#N/A,FALSE,"Unmanaged"}</definedName>
    <definedName name="wrn.Adjusted._.Unmanaged." localSheetId="52" hidden="1">{"UM Visits",#N/A,FALSE,"Unmanaged";"UM Dollars per Hour",#N/A,FALSE,"Unmanaged";"UM Hours per Visit",#N/A,FALSE,"Unmanaged";"UM Dollars per Visit",#N/A,FALSE,"Unmanaged";"UM Total Visits",#N/A,FALSE,"Unmanaged";"UM PMPM",#N/A,FALSE,"Unmanaged"}</definedName>
    <definedName name="wrn.Adjusted._.Unmanaged." localSheetId="68" hidden="1">{"UM Visits",#N/A,FALSE,"Unmanaged";"UM Dollars per Hour",#N/A,FALSE,"Unmanaged";"UM Hours per Visit",#N/A,FALSE,"Unmanaged";"UM Dollars per Visit",#N/A,FALSE,"Unmanaged";"UM Total Visits",#N/A,FALSE,"Unmanaged";"UM PMPM",#N/A,FALSE,"Unmanaged"}</definedName>
    <definedName name="wrn.Adjusted._.Unmanaged." localSheetId="74" hidden="1">{"UM Visits",#N/A,FALSE,"Unmanaged";"UM Dollars per Hour",#N/A,FALSE,"Unmanaged";"UM Hours per Visit",#N/A,FALSE,"Unmanaged";"UM Dollars per Visit",#N/A,FALSE,"Unmanaged";"UM Total Visits",#N/A,FALSE,"Unmanaged";"UM PMPM",#N/A,FALSE,"Unmanaged"}</definedName>
    <definedName name="wrn.Adjusted._.Unmanaged." localSheetId="54" hidden="1">{"UM Visits",#N/A,FALSE,"Unmanaged";"UM Dollars per Hour",#N/A,FALSE,"Unmanaged";"UM Hours per Visit",#N/A,FALSE,"Unmanaged";"UM Dollars per Visit",#N/A,FALSE,"Unmanaged";"UM Total Visits",#N/A,FALSE,"Unmanaged";"UM PMPM",#N/A,FALSE,"Unmanaged"}</definedName>
    <definedName name="wrn.Adjusted._.Unmanaged." localSheetId="56" hidden="1">{"UM Visits",#N/A,FALSE,"Unmanaged";"UM Dollars per Hour",#N/A,FALSE,"Unmanaged";"UM Hours per Visit",#N/A,FALSE,"Unmanaged";"UM Dollars per Visit",#N/A,FALSE,"Unmanaged";"UM Total Visits",#N/A,FALSE,"Unmanaged";"UM PMPM",#N/A,FALSE,"Unmanaged"}</definedName>
    <definedName name="wrn.Adjusted._.Unmanaged." localSheetId="58" hidden="1">{"UM Visits",#N/A,FALSE,"Unmanaged";"UM Dollars per Hour",#N/A,FALSE,"Unmanaged";"UM Hours per Visit",#N/A,FALSE,"Unmanaged";"UM Dollars per Visit",#N/A,FALSE,"Unmanaged";"UM Total Visits",#N/A,FALSE,"Unmanaged";"UM PMPM",#N/A,FALSE,"Unmanaged"}</definedName>
    <definedName name="wrn.Adjusted._.Unmanaged." localSheetId="60" hidden="1">{"UM Visits",#N/A,FALSE,"Unmanaged";"UM Dollars per Hour",#N/A,FALSE,"Unmanaged";"UM Hours per Visit",#N/A,FALSE,"Unmanaged";"UM Dollars per Visit",#N/A,FALSE,"Unmanaged";"UM Total Visits",#N/A,FALSE,"Unmanaged";"UM PMPM",#N/A,FALSE,"Unmanaged"}</definedName>
    <definedName name="wrn.Adjusted._.Unmanaged." localSheetId="62" hidden="1">{"UM Visits",#N/A,FALSE,"Unmanaged";"UM Dollars per Hour",#N/A,FALSE,"Unmanaged";"UM Hours per Visit",#N/A,FALSE,"Unmanaged";"UM Dollars per Visit",#N/A,FALSE,"Unmanaged";"UM Total Visits",#N/A,FALSE,"Unmanaged";"UM PMPM",#N/A,FALSE,"Unmanaged"}</definedName>
    <definedName name="wrn.Adjusted._.Unmanaged." localSheetId="64" hidden="1">{"UM Visits",#N/A,FALSE,"Unmanaged";"UM Dollars per Hour",#N/A,FALSE,"Unmanaged";"UM Hours per Visit",#N/A,FALSE,"Unmanaged";"UM Dollars per Visit",#N/A,FALSE,"Unmanaged";"UM Total Visits",#N/A,FALSE,"Unmanaged";"UM PMPM",#N/A,FALSE,"Unmanaged"}</definedName>
    <definedName name="wrn.Adjusted._.Unmanaged." localSheetId="66" hidden="1">{"UM Visits",#N/A,FALSE,"Unmanaged";"UM Dollars per Hour",#N/A,FALSE,"Unmanaged";"UM Hours per Visit",#N/A,FALSE,"Unmanaged";"UM Dollars per Visit",#N/A,FALSE,"Unmanaged";"UM Total Visits",#N/A,FALSE,"Unmanaged";"UM PMPM",#N/A,FALSE,"Unmanaged"}</definedName>
    <definedName name="wrn.Adjusted._.Unmanaged." localSheetId="78" hidden="1">{"UM Visits",#N/A,FALSE,"Unmanaged";"UM Dollars per Hour",#N/A,FALSE,"Unmanaged";"UM Hours per Visit",#N/A,FALSE,"Unmanaged";"UM Dollars per Visit",#N/A,FALSE,"Unmanaged";"UM Total Visits",#N/A,FALSE,"Unmanaged";"UM PMPM",#N/A,FALSE,"Unmanaged"}</definedName>
    <definedName name="wrn.Adjusted._.Unmanaged." localSheetId="80" hidden="1">{"UM Visits",#N/A,FALSE,"Unmanaged";"UM Dollars per Hour",#N/A,FALSE,"Unmanaged";"UM Hours per Visit",#N/A,FALSE,"Unmanaged";"UM Dollars per Visit",#N/A,FALSE,"Unmanaged";"UM Total Visits",#N/A,FALSE,"Unmanaged";"UM PMPM",#N/A,FALSE,"Unmanaged"}</definedName>
    <definedName name="wrn.Adjusted._.Unmanaged." localSheetId="82" hidden="1">{"UM Visits",#N/A,FALSE,"Unmanaged";"UM Dollars per Hour",#N/A,FALSE,"Unmanaged";"UM Hours per Visit",#N/A,FALSE,"Unmanaged";"UM Dollars per Visit",#N/A,FALSE,"Unmanaged";"UM Total Visits",#N/A,FALSE,"Unmanaged";"UM PMPM",#N/A,FALSE,"Unmanaged"}</definedName>
    <definedName name="wrn.Adjusted._.Unmanaged." localSheetId="85" hidden="1">{"UM Visits",#N/A,FALSE,"Unmanaged";"UM Dollars per Hour",#N/A,FALSE,"Unmanaged";"UM Hours per Visit",#N/A,FALSE,"Unmanaged";"UM Dollars per Visit",#N/A,FALSE,"Unmanaged";"UM Total Visits",#N/A,FALSE,"Unmanaged";"UM PMPM",#N/A,FALSE,"Unmanaged"}</definedName>
    <definedName name="wrn.Adjusted._.Unmanaged." localSheetId="87" hidden="1">{"UM Visits",#N/A,FALSE,"Unmanaged";"UM Dollars per Hour",#N/A,FALSE,"Unmanaged";"UM Hours per Visit",#N/A,FALSE,"Unmanaged";"UM Dollars per Visit",#N/A,FALSE,"Unmanaged";"UM Total Visits",#N/A,FALSE,"Unmanaged";"UM PMPM",#N/A,FALSE,"Unmanaged"}</definedName>
    <definedName name="wrn.Adjusted._.Unmanaged." localSheetId="77" hidden="1">{"UM Visits",#N/A,FALSE,"Unmanaged";"UM Dollars per Hour",#N/A,FALSE,"Unmanaged";"UM Hours per Visit",#N/A,FALSE,"Unmanaged";"UM Dollars per Visit",#N/A,FALSE,"Unmanaged";"UM Total Visits",#N/A,FALSE,"Unmanaged";"UM PMPM",#N/A,FALSE,"Unmanaged"}</definedName>
    <definedName name="wrn.Adjusted._.Unmanaged." localSheetId="79" hidden="1">{"UM Visits",#N/A,FALSE,"Unmanaged";"UM Dollars per Hour",#N/A,FALSE,"Unmanaged";"UM Hours per Visit",#N/A,FALSE,"Unmanaged";"UM Dollars per Visit",#N/A,FALSE,"Unmanaged";"UM Total Visits",#N/A,FALSE,"Unmanaged";"UM PMPM",#N/A,FALSE,"Unmanaged"}</definedName>
    <definedName name="wrn.Adjusted._.Unmanaged." localSheetId="81" hidden="1">{"UM Visits",#N/A,FALSE,"Unmanaged";"UM Dollars per Hour",#N/A,FALSE,"Unmanaged";"UM Hours per Visit",#N/A,FALSE,"Unmanaged";"UM Dollars per Visit",#N/A,FALSE,"Unmanaged";"UM Total Visits",#N/A,FALSE,"Unmanaged";"UM PMPM",#N/A,FALSE,"Unmanaged"}</definedName>
    <definedName name="wrn.Adjusted._.Unmanaged." localSheetId="83" hidden="1">{"UM Visits",#N/A,FALSE,"Unmanaged";"UM Dollars per Hour",#N/A,FALSE,"Unmanaged";"UM Hours per Visit",#N/A,FALSE,"Unmanaged";"UM Dollars per Visit",#N/A,FALSE,"Unmanaged";"UM Total Visits",#N/A,FALSE,"Unmanaged";"UM PMPM",#N/A,FALSE,"Unmanaged"}</definedName>
    <definedName name="wrn.Adjusted._.Unmanaged." localSheetId="84" hidden="1">{"UM Visits",#N/A,FALSE,"Unmanaged";"UM Dollars per Hour",#N/A,FALSE,"Unmanaged";"UM Hours per Visit",#N/A,FALSE,"Unmanaged";"UM Dollars per Visit",#N/A,FALSE,"Unmanaged";"UM Total Visits",#N/A,FALSE,"Unmanaged";"UM PMPM",#N/A,FALSE,"Unmanaged"}</definedName>
    <definedName name="wrn.Adjusted._.Unmanaged." localSheetId="86"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Detail." localSheetId="3" hidden="1">{"umarea",#N/A,FALSE,"Starting Cost";"umagesex",#N/A,FALSE,"Starting Cost";"umbenlim",#N/A,FALSE,"Starting Cost";"umprovdisc",#N/A,FALSE,"Starting Cost";"umother",#N/A,FALSE,"Starting Cost";"umtrend",#N/A,FALSE,"Starting Cost"}</definedName>
    <definedName name="wrn.Detail." localSheetId="2" hidden="1">{"umarea",#N/A,FALSE,"Starting Cost";"umagesex",#N/A,FALSE,"Starting Cost";"umbenlim",#N/A,FALSE,"Starting Cost";"umprovdisc",#N/A,FALSE,"Starting Cost";"umother",#N/A,FALSE,"Starting Cost";"umtrend",#N/A,FALSE,"Starting Cost"}</definedName>
    <definedName name="wrn.Detail." localSheetId="6" hidden="1">{"umarea",#N/A,FALSE,"Starting Cost";"umagesex",#N/A,FALSE,"Starting Cost";"umbenlim",#N/A,FALSE,"Starting Cost";"umprovdisc",#N/A,FALSE,"Starting Cost";"umother",#N/A,FALSE,"Starting Cost";"umtrend",#N/A,FALSE,"Starting Cost"}</definedName>
    <definedName name="wrn.Detail." localSheetId="14" hidden="1">{"umarea",#N/A,FALSE,"Starting Cost";"umagesex",#N/A,FALSE,"Starting Cost";"umbenlim",#N/A,FALSE,"Starting Cost";"umprovdisc",#N/A,FALSE,"Starting Cost";"umother",#N/A,FALSE,"Starting Cost";"umtrend",#N/A,FALSE,"Starting Cost"}</definedName>
    <definedName name="wrn.Detail." localSheetId="16" hidden="1">{"umarea",#N/A,FALSE,"Starting Cost";"umagesex",#N/A,FALSE,"Starting Cost";"umbenlim",#N/A,FALSE,"Starting Cost";"umprovdisc",#N/A,FALSE,"Starting Cost";"umother",#N/A,FALSE,"Starting Cost";"umtrend",#N/A,FALSE,"Starting Cost"}</definedName>
    <definedName name="wrn.Detail." localSheetId="18" hidden="1">{"umarea",#N/A,FALSE,"Starting Cost";"umagesex",#N/A,FALSE,"Starting Cost";"umbenlim",#N/A,FALSE,"Starting Cost";"umprovdisc",#N/A,FALSE,"Starting Cost";"umother",#N/A,FALSE,"Starting Cost";"umtrend",#N/A,FALSE,"Starting Cost"}</definedName>
    <definedName name="wrn.Detail." localSheetId="20" hidden="1">{"umarea",#N/A,FALSE,"Starting Cost";"umagesex",#N/A,FALSE,"Starting Cost";"umbenlim",#N/A,FALSE,"Starting Cost";"umprovdisc",#N/A,FALSE,"Starting Cost";"umother",#N/A,FALSE,"Starting Cost";"umtrend",#N/A,FALSE,"Starting Cost"}</definedName>
    <definedName name="wrn.Detail." localSheetId="22" hidden="1">{"umarea",#N/A,FALSE,"Starting Cost";"umagesex",#N/A,FALSE,"Starting Cost";"umbenlim",#N/A,FALSE,"Starting Cost";"umprovdisc",#N/A,FALSE,"Starting Cost";"umother",#N/A,FALSE,"Starting Cost";"umtrend",#N/A,FALSE,"Starting Cost"}</definedName>
    <definedName name="wrn.Detail." localSheetId="24" hidden="1">{"umarea",#N/A,FALSE,"Starting Cost";"umagesex",#N/A,FALSE,"Starting Cost";"umbenlim",#N/A,FALSE,"Starting Cost";"umprovdisc",#N/A,FALSE,"Starting Cost";"umother",#N/A,FALSE,"Starting Cost";"umtrend",#N/A,FALSE,"Starting Cost"}</definedName>
    <definedName name="wrn.Detail." localSheetId="26" hidden="1">{"umarea",#N/A,FALSE,"Starting Cost";"umagesex",#N/A,FALSE,"Starting Cost";"umbenlim",#N/A,FALSE,"Starting Cost";"umprovdisc",#N/A,FALSE,"Starting Cost";"umother",#N/A,FALSE,"Starting Cost";"umtrend",#N/A,FALSE,"Starting Cost"}</definedName>
    <definedName name="wrn.Detail." localSheetId="28" hidden="1">{"umarea",#N/A,FALSE,"Starting Cost";"umagesex",#N/A,FALSE,"Starting Cost";"umbenlim",#N/A,FALSE,"Starting Cost";"umprovdisc",#N/A,FALSE,"Starting Cost";"umother",#N/A,FALSE,"Starting Cost";"umtrend",#N/A,FALSE,"Starting Cost"}</definedName>
    <definedName name="wrn.Detail." localSheetId="30" hidden="1">{"umarea",#N/A,FALSE,"Starting Cost";"umagesex",#N/A,FALSE,"Starting Cost";"umbenlim",#N/A,FALSE,"Starting Cost";"umprovdisc",#N/A,FALSE,"Starting Cost";"umother",#N/A,FALSE,"Starting Cost";"umtrend",#N/A,FALSE,"Starting Cost"}</definedName>
    <definedName name="wrn.Detail." localSheetId="32" hidden="1">{"umarea",#N/A,FALSE,"Starting Cost";"umagesex",#N/A,FALSE,"Starting Cost";"umbenlim",#N/A,FALSE,"Starting Cost";"umprovdisc",#N/A,FALSE,"Starting Cost";"umother",#N/A,FALSE,"Starting Cost";"umtrend",#N/A,FALSE,"Starting Cost"}</definedName>
    <definedName name="wrn.Detail." localSheetId="34" hidden="1">{"umarea",#N/A,FALSE,"Starting Cost";"umagesex",#N/A,FALSE,"Starting Cost";"umbenlim",#N/A,FALSE,"Starting Cost";"umprovdisc",#N/A,FALSE,"Starting Cost";"umother",#N/A,FALSE,"Starting Cost";"umtrend",#N/A,FALSE,"Starting Cost"}</definedName>
    <definedName name="wrn.Detail." localSheetId="36" hidden="1">{"umarea",#N/A,FALSE,"Starting Cost";"umagesex",#N/A,FALSE,"Starting Cost";"umbenlim",#N/A,FALSE,"Starting Cost";"umprovdisc",#N/A,FALSE,"Starting Cost";"umother",#N/A,FALSE,"Starting Cost";"umtrend",#N/A,FALSE,"Starting Cost"}</definedName>
    <definedName name="wrn.Detail." localSheetId="38" hidden="1">{"umarea",#N/A,FALSE,"Starting Cost";"umagesex",#N/A,FALSE,"Starting Cost";"umbenlim",#N/A,FALSE,"Starting Cost";"umprovdisc",#N/A,FALSE,"Starting Cost";"umother",#N/A,FALSE,"Starting Cost";"umtrend",#N/A,FALSE,"Starting Cost"}</definedName>
    <definedName name="wrn.Detail." localSheetId="42" hidden="1">{"umarea",#N/A,FALSE,"Starting Cost";"umagesex",#N/A,FALSE,"Starting Cost";"umbenlim",#N/A,FALSE,"Starting Cost";"umprovdisc",#N/A,FALSE,"Starting Cost";"umother",#N/A,FALSE,"Starting Cost";"umtrend",#N/A,FALSE,"Starting Cost"}</definedName>
    <definedName name="wrn.Detail." localSheetId="44" hidden="1">{"umarea",#N/A,FALSE,"Starting Cost";"umagesex",#N/A,FALSE,"Starting Cost";"umbenlim",#N/A,FALSE,"Starting Cost";"umprovdisc",#N/A,FALSE,"Starting Cost";"umother",#N/A,FALSE,"Starting Cost";"umtrend",#N/A,FALSE,"Starting Cost"}</definedName>
    <definedName name="wrn.Detail." localSheetId="46" hidden="1">{"umarea",#N/A,FALSE,"Starting Cost";"umagesex",#N/A,FALSE,"Starting Cost";"umbenlim",#N/A,FALSE,"Starting Cost";"umprovdisc",#N/A,FALSE,"Starting Cost";"umother",#N/A,FALSE,"Starting Cost";"umtrend",#N/A,FALSE,"Starting Cost"}</definedName>
    <definedName name="wrn.Detail." localSheetId="8" hidden="1">{"umarea",#N/A,FALSE,"Starting Cost";"umagesex",#N/A,FALSE,"Starting Cost";"umbenlim",#N/A,FALSE,"Starting Cost";"umprovdisc",#N/A,FALSE,"Starting Cost";"umother",#N/A,FALSE,"Starting Cost";"umtrend",#N/A,FALSE,"Starting Cost"}</definedName>
    <definedName name="wrn.Detail." localSheetId="10" hidden="1">{"umarea",#N/A,FALSE,"Starting Cost";"umagesex",#N/A,FALSE,"Starting Cost";"umbenlim",#N/A,FALSE,"Starting Cost";"umprovdisc",#N/A,FALSE,"Starting Cost";"umother",#N/A,FALSE,"Starting Cost";"umtrend",#N/A,FALSE,"Starting Cost"}</definedName>
    <definedName name="wrn.Detail." localSheetId="12" hidden="1">{"umarea",#N/A,FALSE,"Starting Cost";"umagesex",#N/A,FALSE,"Starting Cost";"umbenlim",#N/A,FALSE,"Starting Cost";"umprovdisc",#N/A,FALSE,"Starting Cost";"umother",#N/A,FALSE,"Starting Cost";"umtrend",#N/A,FALSE,"Starting Cost"}</definedName>
    <definedName name="wrn.Detail." localSheetId="5" hidden="1">{"umarea",#N/A,FALSE,"Starting Cost";"umagesex",#N/A,FALSE,"Starting Cost";"umbenlim",#N/A,FALSE,"Starting Cost";"umprovdisc",#N/A,FALSE,"Starting Cost";"umother",#N/A,FALSE,"Starting Cost";"umtrend",#N/A,FALSE,"Starting Cost"}</definedName>
    <definedName name="wrn.Detail." localSheetId="13" hidden="1">{"umarea",#N/A,FALSE,"Starting Cost";"umagesex",#N/A,FALSE,"Starting Cost";"umbenlim",#N/A,FALSE,"Starting Cost";"umprovdisc",#N/A,FALSE,"Starting Cost";"umother",#N/A,FALSE,"Starting Cost";"umtrend",#N/A,FALSE,"Starting Cost"}</definedName>
    <definedName name="wrn.Detail." localSheetId="15" hidden="1">{"umarea",#N/A,FALSE,"Starting Cost";"umagesex",#N/A,FALSE,"Starting Cost";"umbenlim",#N/A,FALSE,"Starting Cost";"umprovdisc",#N/A,FALSE,"Starting Cost";"umother",#N/A,FALSE,"Starting Cost";"umtrend",#N/A,FALSE,"Starting Cost"}</definedName>
    <definedName name="wrn.Detail." localSheetId="17" hidden="1">{"umarea",#N/A,FALSE,"Starting Cost";"umagesex",#N/A,FALSE,"Starting Cost";"umbenlim",#N/A,FALSE,"Starting Cost";"umprovdisc",#N/A,FALSE,"Starting Cost";"umother",#N/A,FALSE,"Starting Cost";"umtrend",#N/A,FALSE,"Starting Cost"}</definedName>
    <definedName name="wrn.Detail." localSheetId="19" hidden="1">{"umarea",#N/A,FALSE,"Starting Cost";"umagesex",#N/A,FALSE,"Starting Cost";"umbenlim",#N/A,FALSE,"Starting Cost";"umprovdisc",#N/A,FALSE,"Starting Cost";"umother",#N/A,FALSE,"Starting Cost";"umtrend",#N/A,FALSE,"Starting Cost"}</definedName>
    <definedName name="wrn.Detail." localSheetId="21" hidden="1">{"umarea",#N/A,FALSE,"Starting Cost";"umagesex",#N/A,FALSE,"Starting Cost";"umbenlim",#N/A,FALSE,"Starting Cost";"umprovdisc",#N/A,FALSE,"Starting Cost";"umother",#N/A,FALSE,"Starting Cost";"umtrend",#N/A,FALSE,"Starting Cost"}</definedName>
    <definedName name="wrn.Detail." localSheetId="23" hidden="1">{"umarea",#N/A,FALSE,"Starting Cost";"umagesex",#N/A,FALSE,"Starting Cost";"umbenlim",#N/A,FALSE,"Starting Cost";"umprovdisc",#N/A,FALSE,"Starting Cost";"umother",#N/A,FALSE,"Starting Cost";"umtrend",#N/A,FALSE,"Starting Cost"}</definedName>
    <definedName name="wrn.Detail." localSheetId="25" hidden="1">{"umarea",#N/A,FALSE,"Starting Cost";"umagesex",#N/A,FALSE,"Starting Cost";"umbenlim",#N/A,FALSE,"Starting Cost";"umprovdisc",#N/A,FALSE,"Starting Cost";"umother",#N/A,FALSE,"Starting Cost";"umtrend",#N/A,FALSE,"Starting Cost"}</definedName>
    <definedName name="wrn.Detail." localSheetId="27" hidden="1">{"umarea",#N/A,FALSE,"Starting Cost";"umagesex",#N/A,FALSE,"Starting Cost";"umbenlim",#N/A,FALSE,"Starting Cost";"umprovdisc",#N/A,FALSE,"Starting Cost";"umother",#N/A,FALSE,"Starting Cost";"umtrend",#N/A,FALSE,"Starting Cost"}</definedName>
    <definedName name="wrn.Detail." localSheetId="29" hidden="1">{"umarea",#N/A,FALSE,"Starting Cost";"umagesex",#N/A,FALSE,"Starting Cost";"umbenlim",#N/A,FALSE,"Starting Cost";"umprovdisc",#N/A,FALSE,"Starting Cost";"umother",#N/A,FALSE,"Starting Cost";"umtrend",#N/A,FALSE,"Starting Cost"}</definedName>
    <definedName name="wrn.Detail." localSheetId="31" hidden="1">{"umarea",#N/A,FALSE,"Starting Cost";"umagesex",#N/A,FALSE,"Starting Cost";"umbenlim",#N/A,FALSE,"Starting Cost";"umprovdisc",#N/A,FALSE,"Starting Cost";"umother",#N/A,FALSE,"Starting Cost";"umtrend",#N/A,FALSE,"Starting Cost"}</definedName>
    <definedName name="wrn.Detail." localSheetId="33" hidden="1">{"umarea",#N/A,FALSE,"Starting Cost";"umagesex",#N/A,FALSE,"Starting Cost";"umbenlim",#N/A,FALSE,"Starting Cost";"umprovdisc",#N/A,FALSE,"Starting Cost";"umother",#N/A,FALSE,"Starting Cost";"umtrend",#N/A,FALSE,"Starting Cost"}</definedName>
    <definedName name="wrn.Detail." localSheetId="35" hidden="1">{"umarea",#N/A,FALSE,"Starting Cost";"umagesex",#N/A,FALSE,"Starting Cost";"umbenlim",#N/A,FALSE,"Starting Cost";"umprovdisc",#N/A,FALSE,"Starting Cost";"umother",#N/A,FALSE,"Starting Cost";"umtrend",#N/A,FALSE,"Starting Cost"}</definedName>
    <definedName name="wrn.Detail." localSheetId="37" hidden="1">{"umarea",#N/A,FALSE,"Starting Cost";"umagesex",#N/A,FALSE,"Starting Cost";"umbenlim",#N/A,FALSE,"Starting Cost";"umprovdisc",#N/A,FALSE,"Starting Cost";"umother",#N/A,FALSE,"Starting Cost";"umtrend",#N/A,FALSE,"Starting Cost"}</definedName>
    <definedName name="wrn.Detail." localSheetId="41" hidden="1">{"umarea",#N/A,FALSE,"Starting Cost";"umagesex",#N/A,FALSE,"Starting Cost";"umbenlim",#N/A,FALSE,"Starting Cost";"umprovdisc",#N/A,FALSE,"Starting Cost";"umother",#N/A,FALSE,"Starting Cost";"umtrend",#N/A,FALSE,"Starting Cost"}</definedName>
    <definedName name="wrn.Detail." localSheetId="43" hidden="1">{"umarea",#N/A,FALSE,"Starting Cost";"umagesex",#N/A,FALSE,"Starting Cost";"umbenlim",#N/A,FALSE,"Starting Cost";"umprovdisc",#N/A,FALSE,"Starting Cost";"umother",#N/A,FALSE,"Starting Cost";"umtrend",#N/A,FALSE,"Starting Cost"}</definedName>
    <definedName name="wrn.Detail." localSheetId="45" hidden="1">{"umarea",#N/A,FALSE,"Starting Cost";"umagesex",#N/A,FALSE,"Starting Cost";"umbenlim",#N/A,FALSE,"Starting Cost";"umprovdisc",#N/A,FALSE,"Starting Cost";"umother",#N/A,FALSE,"Starting Cost";"umtrend",#N/A,FALSE,"Starting Cost"}</definedName>
    <definedName name="wrn.Detail." localSheetId="7" hidden="1">{"umarea",#N/A,FALSE,"Starting Cost";"umagesex",#N/A,FALSE,"Starting Cost";"umbenlim",#N/A,FALSE,"Starting Cost";"umprovdisc",#N/A,FALSE,"Starting Cost";"umother",#N/A,FALSE,"Starting Cost";"umtrend",#N/A,FALSE,"Starting Cost"}</definedName>
    <definedName name="wrn.Detail." localSheetId="9" hidden="1">{"umarea",#N/A,FALSE,"Starting Cost";"umagesex",#N/A,FALSE,"Starting Cost";"umbenlim",#N/A,FALSE,"Starting Cost";"umprovdisc",#N/A,FALSE,"Starting Cost";"umother",#N/A,FALSE,"Starting Cost";"umtrend",#N/A,FALSE,"Starting Cost"}</definedName>
    <definedName name="wrn.Detail." localSheetId="11" hidden="1">{"umarea",#N/A,FALSE,"Starting Cost";"umagesex",#N/A,FALSE,"Starting Cost";"umbenlim",#N/A,FALSE,"Starting Cost";"umprovdisc",#N/A,FALSE,"Starting Cost";"umother",#N/A,FALSE,"Starting Cost";"umtrend",#N/A,FALSE,"Starting Cost"}</definedName>
    <definedName name="wrn.Detail." localSheetId="53" hidden="1">{"umarea",#N/A,FALSE,"Starting Cost";"umagesex",#N/A,FALSE,"Starting Cost";"umbenlim",#N/A,FALSE,"Starting Cost";"umprovdisc",#N/A,FALSE,"Starting Cost";"umother",#N/A,FALSE,"Starting Cost";"umtrend",#N/A,FALSE,"Starting Cost"}</definedName>
    <definedName name="wrn.Detail." localSheetId="69" hidden="1">{"umarea",#N/A,FALSE,"Starting Cost";"umagesex",#N/A,FALSE,"Starting Cost";"umbenlim",#N/A,FALSE,"Starting Cost";"umprovdisc",#N/A,FALSE,"Starting Cost";"umother",#N/A,FALSE,"Starting Cost";"umtrend",#N/A,FALSE,"Starting Cost"}</definedName>
    <definedName name="wrn.Detail." localSheetId="75" hidden="1">{"umarea",#N/A,FALSE,"Starting Cost";"umagesex",#N/A,FALSE,"Starting Cost";"umbenlim",#N/A,FALSE,"Starting Cost";"umprovdisc",#N/A,FALSE,"Starting Cost";"umother",#N/A,FALSE,"Starting Cost";"umtrend",#N/A,FALSE,"Starting Cost"}</definedName>
    <definedName name="wrn.Detail." localSheetId="55" hidden="1">{"umarea",#N/A,FALSE,"Starting Cost";"umagesex",#N/A,FALSE,"Starting Cost";"umbenlim",#N/A,FALSE,"Starting Cost";"umprovdisc",#N/A,FALSE,"Starting Cost";"umother",#N/A,FALSE,"Starting Cost";"umtrend",#N/A,FALSE,"Starting Cost"}</definedName>
    <definedName name="wrn.Detail." localSheetId="57" hidden="1">{"umarea",#N/A,FALSE,"Starting Cost";"umagesex",#N/A,FALSE,"Starting Cost";"umbenlim",#N/A,FALSE,"Starting Cost";"umprovdisc",#N/A,FALSE,"Starting Cost";"umother",#N/A,FALSE,"Starting Cost";"umtrend",#N/A,FALSE,"Starting Cost"}</definedName>
    <definedName name="wrn.Detail." localSheetId="59" hidden="1">{"umarea",#N/A,FALSE,"Starting Cost";"umagesex",#N/A,FALSE,"Starting Cost";"umbenlim",#N/A,FALSE,"Starting Cost";"umprovdisc",#N/A,FALSE,"Starting Cost";"umother",#N/A,FALSE,"Starting Cost";"umtrend",#N/A,FALSE,"Starting Cost"}</definedName>
    <definedName name="wrn.Detail." localSheetId="61" hidden="1">{"umarea",#N/A,FALSE,"Starting Cost";"umagesex",#N/A,FALSE,"Starting Cost";"umbenlim",#N/A,FALSE,"Starting Cost";"umprovdisc",#N/A,FALSE,"Starting Cost";"umother",#N/A,FALSE,"Starting Cost";"umtrend",#N/A,FALSE,"Starting Cost"}</definedName>
    <definedName name="wrn.Detail." localSheetId="63" hidden="1">{"umarea",#N/A,FALSE,"Starting Cost";"umagesex",#N/A,FALSE,"Starting Cost";"umbenlim",#N/A,FALSE,"Starting Cost";"umprovdisc",#N/A,FALSE,"Starting Cost";"umother",#N/A,FALSE,"Starting Cost";"umtrend",#N/A,FALSE,"Starting Cost"}</definedName>
    <definedName name="wrn.Detail." localSheetId="65" hidden="1">{"umarea",#N/A,FALSE,"Starting Cost";"umagesex",#N/A,FALSE,"Starting Cost";"umbenlim",#N/A,FALSE,"Starting Cost";"umprovdisc",#N/A,FALSE,"Starting Cost";"umother",#N/A,FALSE,"Starting Cost";"umtrend",#N/A,FALSE,"Starting Cost"}</definedName>
    <definedName name="wrn.Detail." localSheetId="67" hidden="1">{"umarea",#N/A,FALSE,"Starting Cost";"umagesex",#N/A,FALSE,"Starting Cost";"umbenlim",#N/A,FALSE,"Starting Cost";"umprovdisc",#N/A,FALSE,"Starting Cost";"umother",#N/A,FALSE,"Starting Cost";"umtrend",#N/A,FALSE,"Starting Cost"}</definedName>
    <definedName name="wrn.Detail." localSheetId="52" hidden="1">{"umarea",#N/A,FALSE,"Starting Cost";"umagesex",#N/A,FALSE,"Starting Cost";"umbenlim",#N/A,FALSE,"Starting Cost";"umprovdisc",#N/A,FALSE,"Starting Cost";"umother",#N/A,FALSE,"Starting Cost";"umtrend",#N/A,FALSE,"Starting Cost"}</definedName>
    <definedName name="wrn.Detail." localSheetId="68" hidden="1">{"umarea",#N/A,FALSE,"Starting Cost";"umagesex",#N/A,FALSE,"Starting Cost";"umbenlim",#N/A,FALSE,"Starting Cost";"umprovdisc",#N/A,FALSE,"Starting Cost";"umother",#N/A,FALSE,"Starting Cost";"umtrend",#N/A,FALSE,"Starting Cost"}</definedName>
    <definedName name="wrn.Detail." localSheetId="74" hidden="1">{"umarea",#N/A,FALSE,"Starting Cost";"umagesex",#N/A,FALSE,"Starting Cost";"umbenlim",#N/A,FALSE,"Starting Cost";"umprovdisc",#N/A,FALSE,"Starting Cost";"umother",#N/A,FALSE,"Starting Cost";"umtrend",#N/A,FALSE,"Starting Cost"}</definedName>
    <definedName name="wrn.Detail." localSheetId="54" hidden="1">{"umarea",#N/A,FALSE,"Starting Cost";"umagesex",#N/A,FALSE,"Starting Cost";"umbenlim",#N/A,FALSE,"Starting Cost";"umprovdisc",#N/A,FALSE,"Starting Cost";"umother",#N/A,FALSE,"Starting Cost";"umtrend",#N/A,FALSE,"Starting Cost"}</definedName>
    <definedName name="wrn.Detail." localSheetId="56" hidden="1">{"umarea",#N/A,FALSE,"Starting Cost";"umagesex",#N/A,FALSE,"Starting Cost";"umbenlim",#N/A,FALSE,"Starting Cost";"umprovdisc",#N/A,FALSE,"Starting Cost";"umother",#N/A,FALSE,"Starting Cost";"umtrend",#N/A,FALSE,"Starting Cost"}</definedName>
    <definedName name="wrn.Detail." localSheetId="58" hidden="1">{"umarea",#N/A,FALSE,"Starting Cost";"umagesex",#N/A,FALSE,"Starting Cost";"umbenlim",#N/A,FALSE,"Starting Cost";"umprovdisc",#N/A,FALSE,"Starting Cost";"umother",#N/A,FALSE,"Starting Cost";"umtrend",#N/A,FALSE,"Starting Cost"}</definedName>
    <definedName name="wrn.Detail." localSheetId="60" hidden="1">{"umarea",#N/A,FALSE,"Starting Cost";"umagesex",#N/A,FALSE,"Starting Cost";"umbenlim",#N/A,FALSE,"Starting Cost";"umprovdisc",#N/A,FALSE,"Starting Cost";"umother",#N/A,FALSE,"Starting Cost";"umtrend",#N/A,FALSE,"Starting Cost"}</definedName>
    <definedName name="wrn.Detail." localSheetId="62" hidden="1">{"umarea",#N/A,FALSE,"Starting Cost";"umagesex",#N/A,FALSE,"Starting Cost";"umbenlim",#N/A,FALSE,"Starting Cost";"umprovdisc",#N/A,FALSE,"Starting Cost";"umother",#N/A,FALSE,"Starting Cost";"umtrend",#N/A,FALSE,"Starting Cost"}</definedName>
    <definedName name="wrn.Detail." localSheetId="64" hidden="1">{"umarea",#N/A,FALSE,"Starting Cost";"umagesex",#N/A,FALSE,"Starting Cost";"umbenlim",#N/A,FALSE,"Starting Cost";"umprovdisc",#N/A,FALSE,"Starting Cost";"umother",#N/A,FALSE,"Starting Cost";"umtrend",#N/A,FALSE,"Starting Cost"}</definedName>
    <definedName name="wrn.Detail." localSheetId="66" hidden="1">{"umarea",#N/A,FALSE,"Starting Cost";"umagesex",#N/A,FALSE,"Starting Cost";"umbenlim",#N/A,FALSE,"Starting Cost";"umprovdisc",#N/A,FALSE,"Starting Cost";"umother",#N/A,FALSE,"Starting Cost";"umtrend",#N/A,FALSE,"Starting Cost"}</definedName>
    <definedName name="wrn.Detail." localSheetId="78" hidden="1">{"umarea",#N/A,FALSE,"Starting Cost";"umagesex",#N/A,FALSE,"Starting Cost";"umbenlim",#N/A,FALSE,"Starting Cost";"umprovdisc",#N/A,FALSE,"Starting Cost";"umother",#N/A,FALSE,"Starting Cost";"umtrend",#N/A,FALSE,"Starting Cost"}</definedName>
    <definedName name="wrn.Detail." localSheetId="80" hidden="1">{"umarea",#N/A,FALSE,"Starting Cost";"umagesex",#N/A,FALSE,"Starting Cost";"umbenlim",#N/A,FALSE,"Starting Cost";"umprovdisc",#N/A,FALSE,"Starting Cost";"umother",#N/A,FALSE,"Starting Cost";"umtrend",#N/A,FALSE,"Starting Cost"}</definedName>
    <definedName name="wrn.Detail." localSheetId="82" hidden="1">{"umarea",#N/A,FALSE,"Starting Cost";"umagesex",#N/A,FALSE,"Starting Cost";"umbenlim",#N/A,FALSE,"Starting Cost";"umprovdisc",#N/A,FALSE,"Starting Cost";"umother",#N/A,FALSE,"Starting Cost";"umtrend",#N/A,FALSE,"Starting Cost"}</definedName>
    <definedName name="wrn.Detail." localSheetId="85" hidden="1">{"umarea",#N/A,FALSE,"Starting Cost";"umagesex",#N/A,FALSE,"Starting Cost";"umbenlim",#N/A,FALSE,"Starting Cost";"umprovdisc",#N/A,FALSE,"Starting Cost";"umother",#N/A,FALSE,"Starting Cost";"umtrend",#N/A,FALSE,"Starting Cost"}</definedName>
    <definedName name="wrn.Detail." localSheetId="87" hidden="1">{"umarea",#N/A,FALSE,"Starting Cost";"umagesex",#N/A,FALSE,"Starting Cost";"umbenlim",#N/A,FALSE,"Starting Cost";"umprovdisc",#N/A,FALSE,"Starting Cost";"umother",#N/A,FALSE,"Starting Cost";"umtrend",#N/A,FALSE,"Starting Cost"}</definedName>
    <definedName name="wrn.Detail." localSheetId="77" hidden="1">{"umarea",#N/A,FALSE,"Starting Cost";"umagesex",#N/A,FALSE,"Starting Cost";"umbenlim",#N/A,FALSE,"Starting Cost";"umprovdisc",#N/A,FALSE,"Starting Cost";"umother",#N/A,FALSE,"Starting Cost";"umtrend",#N/A,FALSE,"Starting Cost"}</definedName>
    <definedName name="wrn.Detail." localSheetId="79" hidden="1">{"umarea",#N/A,FALSE,"Starting Cost";"umagesex",#N/A,FALSE,"Starting Cost";"umbenlim",#N/A,FALSE,"Starting Cost";"umprovdisc",#N/A,FALSE,"Starting Cost";"umother",#N/A,FALSE,"Starting Cost";"umtrend",#N/A,FALSE,"Starting Cost"}</definedName>
    <definedName name="wrn.Detail." localSheetId="81" hidden="1">{"umarea",#N/A,FALSE,"Starting Cost";"umagesex",#N/A,FALSE,"Starting Cost";"umbenlim",#N/A,FALSE,"Starting Cost";"umprovdisc",#N/A,FALSE,"Starting Cost";"umother",#N/A,FALSE,"Starting Cost";"umtrend",#N/A,FALSE,"Starting Cost"}</definedName>
    <definedName name="wrn.Detail." localSheetId="83" hidden="1">{"umarea",#N/A,FALSE,"Starting Cost";"umagesex",#N/A,FALSE,"Starting Cost";"umbenlim",#N/A,FALSE,"Starting Cost";"umprovdisc",#N/A,FALSE,"Starting Cost";"umother",#N/A,FALSE,"Starting Cost";"umtrend",#N/A,FALSE,"Starting Cost"}</definedName>
    <definedName name="wrn.Detail." localSheetId="84" hidden="1">{"umarea",#N/A,FALSE,"Starting Cost";"umagesex",#N/A,FALSE,"Starting Cost";"umbenlim",#N/A,FALSE,"Starting Cost";"umprovdisc",#N/A,FALSE,"Starting Cost";"umother",#N/A,FALSE,"Starting Cost";"umtrend",#N/A,FALSE,"Starting Cost"}</definedName>
    <definedName name="wrn.Detail." localSheetId="86"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Draft_COBRA_1." localSheetId="3" hidden="1">{"Regular_1",#N/A,FALSE,"Trend Form";"Disability_1",#N/A,FALSE,"Trend Form";"Detail_1",#N/A,FALSE,"Trend Form"}</definedName>
    <definedName name="wrn.Draft_COBRA_1." localSheetId="2" hidden="1">{"Regular_1",#N/A,FALSE,"Trend Form";"Disability_1",#N/A,FALSE,"Trend Form";"Detail_1",#N/A,FALSE,"Trend Form"}</definedName>
    <definedName name="wrn.Draft_COBRA_1." localSheetId="6" hidden="1">{"Regular_1",#N/A,FALSE,"Trend Form";"Disability_1",#N/A,FALSE,"Trend Form";"Detail_1",#N/A,FALSE,"Trend Form"}</definedName>
    <definedName name="wrn.Draft_COBRA_1." localSheetId="14" hidden="1">{"Regular_1",#N/A,FALSE,"Trend Form";"Disability_1",#N/A,FALSE,"Trend Form";"Detail_1",#N/A,FALSE,"Trend Form"}</definedName>
    <definedName name="wrn.Draft_COBRA_1." localSheetId="16" hidden="1">{"Regular_1",#N/A,FALSE,"Trend Form";"Disability_1",#N/A,FALSE,"Trend Form";"Detail_1",#N/A,FALSE,"Trend Form"}</definedName>
    <definedName name="wrn.Draft_COBRA_1." localSheetId="18" hidden="1">{"Regular_1",#N/A,FALSE,"Trend Form";"Disability_1",#N/A,FALSE,"Trend Form";"Detail_1",#N/A,FALSE,"Trend Form"}</definedName>
    <definedName name="wrn.Draft_COBRA_1." localSheetId="20" hidden="1">{"Regular_1",#N/A,FALSE,"Trend Form";"Disability_1",#N/A,FALSE,"Trend Form";"Detail_1",#N/A,FALSE,"Trend Form"}</definedName>
    <definedName name="wrn.Draft_COBRA_1." localSheetId="22" hidden="1">{"Regular_1",#N/A,FALSE,"Trend Form";"Disability_1",#N/A,FALSE,"Trend Form";"Detail_1",#N/A,FALSE,"Trend Form"}</definedName>
    <definedName name="wrn.Draft_COBRA_1." localSheetId="24" hidden="1">{"Regular_1",#N/A,FALSE,"Trend Form";"Disability_1",#N/A,FALSE,"Trend Form";"Detail_1",#N/A,FALSE,"Trend Form"}</definedName>
    <definedName name="wrn.Draft_COBRA_1." localSheetId="26" hidden="1">{"Regular_1",#N/A,FALSE,"Trend Form";"Disability_1",#N/A,FALSE,"Trend Form";"Detail_1",#N/A,FALSE,"Trend Form"}</definedName>
    <definedName name="wrn.Draft_COBRA_1." localSheetId="28" hidden="1">{"Regular_1",#N/A,FALSE,"Trend Form";"Disability_1",#N/A,FALSE,"Trend Form";"Detail_1",#N/A,FALSE,"Trend Form"}</definedName>
    <definedName name="wrn.Draft_COBRA_1." localSheetId="30" hidden="1">{"Regular_1",#N/A,FALSE,"Trend Form";"Disability_1",#N/A,FALSE,"Trend Form";"Detail_1",#N/A,FALSE,"Trend Form"}</definedName>
    <definedName name="wrn.Draft_COBRA_1." localSheetId="32" hidden="1">{"Regular_1",#N/A,FALSE,"Trend Form";"Disability_1",#N/A,FALSE,"Trend Form";"Detail_1",#N/A,FALSE,"Trend Form"}</definedName>
    <definedName name="wrn.Draft_COBRA_1." localSheetId="34" hidden="1">{"Regular_1",#N/A,FALSE,"Trend Form";"Disability_1",#N/A,FALSE,"Trend Form";"Detail_1",#N/A,FALSE,"Trend Form"}</definedName>
    <definedName name="wrn.Draft_COBRA_1." localSheetId="36" hidden="1">{"Regular_1",#N/A,FALSE,"Trend Form";"Disability_1",#N/A,FALSE,"Trend Form";"Detail_1",#N/A,FALSE,"Trend Form"}</definedName>
    <definedName name="wrn.Draft_COBRA_1." localSheetId="38" hidden="1">{"Regular_1",#N/A,FALSE,"Trend Form";"Disability_1",#N/A,FALSE,"Trend Form";"Detail_1",#N/A,FALSE,"Trend Form"}</definedName>
    <definedName name="wrn.Draft_COBRA_1." localSheetId="42" hidden="1">{"Regular_1",#N/A,FALSE,"Trend Form";"Disability_1",#N/A,FALSE,"Trend Form";"Detail_1",#N/A,FALSE,"Trend Form"}</definedName>
    <definedName name="wrn.Draft_COBRA_1." localSheetId="44" hidden="1">{"Regular_1",#N/A,FALSE,"Trend Form";"Disability_1",#N/A,FALSE,"Trend Form";"Detail_1",#N/A,FALSE,"Trend Form"}</definedName>
    <definedName name="wrn.Draft_COBRA_1." localSheetId="46" hidden="1">{"Regular_1",#N/A,FALSE,"Trend Form";"Disability_1",#N/A,FALSE,"Trend Form";"Detail_1",#N/A,FALSE,"Trend Form"}</definedName>
    <definedName name="wrn.Draft_COBRA_1." localSheetId="8" hidden="1">{"Regular_1",#N/A,FALSE,"Trend Form";"Disability_1",#N/A,FALSE,"Trend Form";"Detail_1",#N/A,FALSE,"Trend Form"}</definedName>
    <definedName name="wrn.Draft_COBRA_1." localSheetId="10" hidden="1">{"Regular_1",#N/A,FALSE,"Trend Form";"Disability_1",#N/A,FALSE,"Trend Form";"Detail_1",#N/A,FALSE,"Trend Form"}</definedName>
    <definedName name="wrn.Draft_COBRA_1." localSheetId="12" hidden="1">{"Regular_1",#N/A,FALSE,"Trend Form";"Disability_1",#N/A,FALSE,"Trend Form";"Detail_1",#N/A,FALSE,"Trend Form"}</definedName>
    <definedName name="wrn.Draft_COBRA_1." localSheetId="5" hidden="1">{"Regular_1",#N/A,FALSE,"Trend Form";"Disability_1",#N/A,FALSE,"Trend Form";"Detail_1",#N/A,FALSE,"Trend Form"}</definedName>
    <definedName name="wrn.Draft_COBRA_1." localSheetId="13" hidden="1">{"Regular_1",#N/A,FALSE,"Trend Form";"Disability_1",#N/A,FALSE,"Trend Form";"Detail_1",#N/A,FALSE,"Trend Form"}</definedName>
    <definedName name="wrn.Draft_COBRA_1." localSheetId="15" hidden="1">{"Regular_1",#N/A,FALSE,"Trend Form";"Disability_1",#N/A,FALSE,"Trend Form";"Detail_1",#N/A,FALSE,"Trend Form"}</definedName>
    <definedName name="wrn.Draft_COBRA_1." localSheetId="17" hidden="1">{"Regular_1",#N/A,FALSE,"Trend Form";"Disability_1",#N/A,FALSE,"Trend Form";"Detail_1",#N/A,FALSE,"Trend Form"}</definedName>
    <definedName name="wrn.Draft_COBRA_1." localSheetId="19" hidden="1">{"Regular_1",#N/A,FALSE,"Trend Form";"Disability_1",#N/A,FALSE,"Trend Form";"Detail_1",#N/A,FALSE,"Trend Form"}</definedName>
    <definedName name="wrn.Draft_COBRA_1." localSheetId="21" hidden="1">{"Regular_1",#N/A,FALSE,"Trend Form";"Disability_1",#N/A,FALSE,"Trend Form";"Detail_1",#N/A,FALSE,"Trend Form"}</definedName>
    <definedName name="wrn.Draft_COBRA_1." localSheetId="23" hidden="1">{"Regular_1",#N/A,FALSE,"Trend Form";"Disability_1",#N/A,FALSE,"Trend Form";"Detail_1",#N/A,FALSE,"Trend Form"}</definedName>
    <definedName name="wrn.Draft_COBRA_1." localSheetId="25" hidden="1">{"Regular_1",#N/A,FALSE,"Trend Form";"Disability_1",#N/A,FALSE,"Trend Form";"Detail_1",#N/A,FALSE,"Trend Form"}</definedName>
    <definedName name="wrn.Draft_COBRA_1." localSheetId="27" hidden="1">{"Regular_1",#N/A,FALSE,"Trend Form";"Disability_1",#N/A,FALSE,"Trend Form";"Detail_1",#N/A,FALSE,"Trend Form"}</definedName>
    <definedName name="wrn.Draft_COBRA_1." localSheetId="29" hidden="1">{"Regular_1",#N/A,FALSE,"Trend Form";"Disability_1",#N/A,FALSE,"Trend Form";"Detail_1",#N/A,FALSE,"Trend Form"}</definedName>
    <definedName name="wrn.Draft_COBRA_1." localSheetId="31" hidden="1">{"Regular_1",#N/A,FALSE,"Trend Form";"Disability_1",#N/A,FALSE,"Trend Form";"Detail_1",#N/A,FALSE,"Trend Form"}</definedName>
    <definedName name="wrn.Draft_COBRA_1." localSheetId="33" hidden="1">{"Regular_1",#N/A,FALSE,"Trend Form";"Disability_1",#N/A,FALSE,"Trend Form";"Detail_1",#N/A,FALSE,"Trend Form"}</definedName>
    <definedName name="wrn.Draft_COBRA_1." localSheetId="35" hidden="1">{"Regular_1",#N/A,FALSE,"Trend Form";"Disability_1",#N/A,FALSE,"Trend Form";"Detail_1",#N/A,FALSE,"Trend Form"}</definedName>
    <definedName name="wrn.Draft_COBRA_1." localSheetId="37" hidden="1">{"Regular_1",#N/A,FALSE,"Trend Form";"Disability_1",#N/A,FALSE,"Trend Form";"Detail_1",#N/A,FALSE,"Trend Form"}</definedName>
    <definedName name="wrn.Draft_COBRA_1." localSheetId="41" hidden="1">{"Regular_1",#N/A,FALSE,"Trend Form";"Disability_1",#N/A,FALSE,"Trend Form";"Detail_1",#N/A,FALSE,"Trend Form"}</definedName>
    <definedName name="wrn.Draft_COBRA_1." localSheetId="43" hidden="1">{"Regular_1",#N/A,FALSE,"Trend Form";"Disability_1",#N/A,FALSE,"Trend Form";"Detail_1",#N/A,FALSE,"Trend Form"}</definedName>
    <definedName name="wrn.Draft_COBRA_1." localSheetId="45" hidden="1">{"Regular_1",#N/A,FALSE,"Trend Form";"Disability_1",#N/A,FALSE,"Trend Form";"Detail_1",#N/A,FALSE,"Trend Form"}</definedName>
    <definedName name="wrn.Draft_COBRA_1." localSheetId="7" hidden="1">{"Regular_1",#N/A,FALSE,"Trend Form";"Disability_1",#N/A,FALSE,"Trend Form";"Detail_1",#N/A,FALSE,"Trend Form"}</definedName>
    <definedName name="wrn.Draft_COBRA_1." localSheetId="9" hidden="1">{"Regular_1",#N/A,FALSE,"Trend Form";"Disability_1",#N/A,FALSE,"Trend Form";"Detail_1",#N/A,FALSE,"Trend Form"}</definedName>
    <definedName name="wrn.Draft_COBRA_1." localSheetId="11" hidden="1">{"Regular_1",#N/A,FALSE,"Trend Form";"Disability_1",#N/A,FALSE,"Trend Form";"Detail_1",#N/A,FALSE,"Trend Form"}</definedName>
    <definedName name="wrn.Draft_COBRA_1." localSheetId="53" hidden="1">{"Regular_1",#N/A,FALSE,"Trend Form";"Disability_1",#N/A,FALSE,"Trend Form";"Detail_1",#N/A,FALSE,"Trend Form"}</definedName>
    <definedName name="wrn.Draft_COBRA_1." localSheetId="69" hidden="1">{"Regular_1",#N/A,FALSE,"Trend Form";"Disability_1",#N/A,FALSE,"Trend Form";"Detail_1",#N/A,FALSE,"Trend Form"}</definedName>
    <definedName name="wrn.Draft_COBRA_1." localSheetId="75" hidden="1">{"Regular_1",#N/A,FALSE,"Trend Form";"Disability_1",#N/A,FALSE,"Trend Form";"Detail_1",#N/A,FALSE,"Trend Form"}</definedName>
    <definedName name="wrn.Draft_COBRA_1." localSheetId="55" hidden="1">{"Regular_1",#N/A,FALSE,"Trend Form";"Disability_1",#N/A,FALSE,"Trend Form";"Detail_1",#N/A,FALSE,"Trend Form"}</definedName>
    <definedName name="wrn.Draft_COBRA_1." localSheetId="57" hidden="1">{"Regular_1",#N/A,FALSE,"Trend Form";"Disability_1",#N/A,FALSE,"Trend Form";"Detail_1",#N/A,FALSE,"Trend Form"}</definedName>
    <definedName name="wrn.Draft_COBRA_1." localSheetId="59" hidden="1">{"Regular_1",#N/A,FALSE,"Trend Form";"Disability_1",#N/A,FALSE,"Trend Form";"Detail_1",#N/A,FALSE,"Trend Form"}</definedName>
    <definedName name="wrn.Draft_COBRA_1." localSheetId="61" hidden="1">{"Regular_1",#N/A,FALSE,"Trend Form";"Disability_1",#N/A,FALSE,"Trend Form";"Detail_1",#N/A,FALSE,"Trend Form"}</definedName>
    <definedName name="wrn.Draft_COBRA_1." localSheetId="63" hidden="1">{"Regular_1",#N/A,FALSE,"Trend Form";"Disability_1",#N/A,FALSE,"Trend Form";"Detail_1",#N/A,FALSE,"Trend Form"}</definedName>
    <definedName name="wrn.Draft_COBRA_1." localSheetId="65" hidden="1">{"Regular_1",#N/A,FALSE,"Trend Form";"Disability_1",#N/A,FALSE,"Trend Form";"Detail_1",#N/A,FALSE,"Trend Form"}</definedName>
    <definedName name="wrn.Draft_COBRA_1." localSheetId="67" hidden="1">{"Regular_1",#N/A,FALSE,"Trend Form";"Disability_1",#N/A,FALSE,"Trend Form";"Detail_1",#N/A,FALSE,"Trend Form"}</definedName>
    <definedName name="wrn.Draft_COBRA_1." localSheetId="52" hidden="1">{"Regular_1",#N/A,FALSE,"Trend Form";"Disability_1",#N/A,FALSE,"Trend Form";"Detail_1",#N/A,FALSE,"Trend Form"}</definedName>
    <definedName name="wrn.Draft_COBRA_1." localSheetId="68" hidden="1">{"Regular_1",#N/A,FALSE,"Trend Form";"Disability_1",#N/A,FALSE,"Trend Form";"Detail_1",#N/A,FALSE,"Trend Form"}</definedName>
    <definedName name="wrn.Draft_COBRA_1." localSheetId="74" hidden="1">{"Regular_1",#N/A,FALSE,"Trend Form";"Disability_1",#N/A,FALSE,"Trend Form";"Detail_1",#N/A,FALSE,"Trend Form"}</definedName>
    <definedName name="wrn.Draft_COBRA_1." localSheetId="54" hidden="1">{"Regular_1",#N/A,FALSE,"Trend Form";"Disability_1",#N/A,FALSE,"Trend Form";"Detail_1",#N/A,FALSE,"Trend Form"}</definedName>
    <definedName name="wrn.Draft_COBRA_1." localSheetId="56" hidden="1">{"Regular_1",#N/A,FALSE,"Trend Form";"Disability_1",#N/A,FALSE,"Trend Form";"Detail_1",#N/A,FALSE,"Trend Form"}</definedName>
    <definedName name="wrn.Draft_COBRA_1." localSheetId="58" hidden="1">{"Regular_1",#N/A,FALSE,"Trend Form";"Disability_1",#N/A,FALSE,"Trend Form";"Detail_1",#N/A,FALSE,"Trend Form"}</definedName>
    <definedName name="wrn.Draft_COBRA_1." localSheetId="60" hidden="1">{"Regular_1",#N/A,FALSE,"Trend Form";"Disability_1",#N/A,FALSE,"Trend Form";"Detail_1",#N/A,FALSE,"Trend Form"}</definedName>
    <definedName name="wrn.Draft_COBRA_1." localSheetId="62" hidden="1">{"Regular_1",#N/A,FALSE,"Trend Form";"Disability_1",#N/A,FALSE,"Trend Form";"Detail_1",#N/A,FALSE,"Trend Form"}</definedName>
    <definedName name="wrn.Draft_COBRA_1." localSheetId="64" hidden="1">{"Regular_1",#N/A,FALSE,"Trend Form";"Disability_1",#N/A,FALSE,"Trend Form";"Detail_1",#N/A,FALSE,"Trend Form"}</definedName>
    <definedName name="wrn.Draft_COBRA_1." localSheetId="66" hidden="1">{"Regular_1",#N/A,FALSE,"Trend Form";"Disability_1",#N/A,FALSE,"Trend Form";"Detail_1",#N/A,FALSE,"Trend Form"}</definedName>
    <definedName name="wrn.Draft_COBRA_1." localSheetId="78" hidden="1">{"Regular_1",#N/A,FALSE,"Trend Form";"Disability_1",#N/A,FALSE,"Trend Form";"Detail_1",#N/A,FALSE,"Trend Form"}</definedName>
    <definedName name="wrn.Draft_COBRA_1." localSheetId="80" hidden="1">{"Regular_1",#N/A,FALSE,"Trend Form";"Disability_1",#N/A,FALSE,"Trend Form";"Detail_1",#N/A,FALSE,"Trend Form"}</definedName>
    <definedName name="wrn.Draft_COBRA_1." localSheetId="82" hidden="1">{"Regular_1",#N/A,FALSE,"Trend Form";"Disability_1",#N/A,FALSE,"Trend Form";"Detail_1",#N/A,FALSE,"Trend Form"}</definedName>
    <definedName name="wrn.Draft_COBRA_1." localSheetId="85" hidden="1">{"Regular_1",#N/A,FALSE,"Trend Form";"Disability_1",#N/A,FALSE,"Trend Form";"Detail_1",#N/A,FALSE,"Trend Form"}</definedName>
    <definedName name="wrn.Draft_COBRA_1." localSheetId="87" hidden="1">{"Regular_1",#N/A,FALSE,"Trend Form";"Disability_1",#N/A,FALSE,"Trend Form";"Detail_1",#N/A,FALSE,"Trend Form"}</definedName>
    <definedName name="wrn.Draft_COBRA_1." localSheetId="77" hidden="1">{"Regular_1",#N/A,FALSE,"Trend Form";"Disability_1",#N/A,FALSE,"Trend Form";"Detail_1",#N/A,FALSE,"Trend Form"}</definedName>
    <definedName name="wrn.Draft_COBRA_1." localSheetId="79" hidden="1">{"Regular_1",#N/A,FALSE,"Trend Form";"Disability_1",#N/A,FALSE,"Trend Form";"Detail_1",#N/A,FALSE,"Trend Form"}</definedName>
    <definedName name="wrn.Draft_COBRA_1." localSheetId="81" hidden="1">{"Regular_1",#N/A,FALSE,"Trend Form";"Disability_1",#N/A,FALSE,"Trend Form";"Detail_1",#N/A,FALSE,"Trend Form"}</definedName>
    <definedName name="wrn.Draft_COBRA_1." localSheetId="83" hidden="1">{"Regular_1",#N/A,FALSE,"Trend Form";"Disability_1",#N/A,FALSE,"Trend Form";"Detail_1",#N/A,FALSE,"Trend Form"}</definedName>
    <definedName name="wrn.Draft_COBRA_1." localSheetId="84" hidden="1">{"Regular_1",#N/A,FALSE,"Trend Form";"Disability_1",#N/A,FALSE,"Trend Form";"Detail_1",#N/A,FALSE,"Trend Form"}</definedName>
    <definedName name="wrn.Draft_COBRA_1." localSheetId="86" hidden="1">{"Regular_1",#N/A,FALSE,"Trend Form";"Disability_1",#N/A,FALSE,"Trend Form";"Detail_1",#N/A,FALSE,"Trend Form"}</definedName>
    <definedName name="wrn.Draft_COBRA_1." hidden="1">{"Regular_1",#N/A,FALSE,"Trend Form";"Disability_1",#N/A,FALSE,"Trend Form";"Detail_1",#N/A,FALSE,"Trend Form"}</definedName>
    <definedName name="wrn.Draft_COBRA_1_2." localSheetId="3" hidden="1">{"Regular_1",#N/A,FALSE,"Trend Form";"Disability_1",#N/A,FALSE,"Trend Form";"Detail_1",#N/A,FALSE,"Trend Form";"Regular_2",#N/A,FALSE,"Trend Form";"Disability_2",#N/A,FALSE,"Trend Form";"Detail_2",#N/A,FALSE,"Trend Form"}</definedName>
    <definedName name="wrn.Draft_COBRA_1_2." localSheetId="2" hidden="1">{"Regular_1",#N/A,FALSE,"Trend Form";"Disability_1",#N/A,FALSE,"Trend Form";"Detail_1",#N/A,FALSE,"Trend Form";"Regular_2",#N/A,FALSE,"Trend Form";"Disability_2",#N/A,FALSE,"Trend Form";"Detail_2",#N/A,FALSE,"Trend Form"}</definedName>
    <definedName name="wrn.Draft_COBRA_1_2." localSheetId="6" hidden="1">{"Regular_1",#N/A,FALSE,"Trend Form";"Disability_1",#N/A,FALSE,"Trend Form";"Detail_1",#N/A,FALSE,"Trend Form";"Regular_2",#N/A,FALSE,"Trend Form";"Disability_2",#N/A,FALSE,"Trend Form";"Detail_2",#N/A,FALSE,"Trend Form"}</definedName>
    <definedName name="wrn.Draft_COBRA_1_2." localSheetId="14" hidden="1">{"Regular_1",#N/A,FALSE,"Trend Form";"Disability_1",#N/A,FALSE,"Trend Form";"Detail_1",#N/A,FALSE,"Trend Form";"Regular_2",#N/A,FALSE,"Trend Form";"Disability_2",#N/A,FALSE,"Trend Form";"Detail_2",#N/A,FALSE,"Trend Form"}</definedName>
    <definedName name="wrn.Draft_COBRA_1_2." localSheetId="16" hidden="1">{"Regular_1",#N/A,FALSE,"Trend Form";"Disability_1",#N/A,FALSE,"Trend Form";"Detail_1",#N/A,FALSE,"Trend Form";"Regular_2",#N/A,FALSE,"Trend Form";"Disability_2",#N/A,FALSE,"Trend Form";"Detail_2",#N/A,FALSE,"Trend Form"}</definedName>
    <definedName name="wrn.Draft_COBRA_1_2." localSheetId="18" hidden="1">{"Regular_1",#N/A,FALSE,"Trend Form";"Disability_1",#N/A,FALSE,"Trend Form";"Detail_1",#N/A,FALSE,"Trend Form";"Regular_2",#N/A,FALSE,"Trend Form";"Disability_2",#N/A,FALSE,"Trend Form";"Detail_2",#N/A,FALSE,"Trend Form"}</definedName>
    <definedName name="wrn.Draft_COBRA_1_2." localSheetId="20" hidden="1">{"Regular_1",#N/A,FALSE,"Trend Form";"Disability_1",#N/A,FALSE,"Trend Form";"Detail_1",#N/A,FALSE,"Trend Form";"Regular_2",#N/A,FALSE,"Trend Form";"Disability_2",#N/A,FALSE,"Trend Form";"Detail_2",#N/A,FALSE,"Trend Form"}</definedName>
    <definedName name="wrn.Draft_COBRA_1_2." localSheetId="22" hidden="1">{"Regular_1",#N/A,FALSE,"Trend Form";"Disability_1",#N/A,FALSE,"Trend Form";"Detail_1",#N/A,FALSE,"Trend Form";"Regular_2",#N/A,FALSE,"Trend Form";"Disability_2",#N/A,FALSE,"Trend Form";"Detail_2",#N/A,FALSE,"Trend Form"}</definedName>
    <definedName name="wrn.Draft_COBRA_1_2." localSheetId="24" hidden="1">{"Regular_1",#N/A,FALSE,"Trend Form";"Disability_1",#N/A,FALSE,"Trend Form";"Detail_1",#N/A,FALSE,"Trend Form";"Regular_2",#N/A,FALSE,"Trend Form";"Disability_2",#N/A,FALSE,"Trend Form";"Detail_2",#N/A,FALSE,"Trend Form"}</definedName>
    <definedName name="wrn.Draft_COBRA_1_2." localSheetId="26" hidden="1">{"Regular_1",#N/A,FALSE,"Trend Form";"Disability_1",#N/A,FALSE,"Trend Form";"Detail_1",#N/A,FALSE,"Trend Form";"Regular_2",#N/A,FALSE,"Trend Form";"Disability_2",#N/A,FALSE,"Trend Form";"Detail_2",#N/A,FALSE,"Trend Form"}</definedName>
    <definedName name="wrn.Draft_COBRA_1_2." localSheetId="28" hidden="1">{"Regular_1",#N/A,FALSE,"Trend Form";"Disability_1",#N/A,FALSE,"Trend Form";"Detail_1",#N/A,FALSE,"Trend Form";"Regular_2",#N/A,FALSE,"Trend Form";"Disability_2",#N/A,FALSE,"Trend Form";"Detail_2",#N/A,FALSE,"Trend Form"}</definedName>
    <definedName name="wrn.Draft_COBRA_1_2." localSheetId="30" hidden="1">{"Regular_1",#N/A,FALSE,"Trend Form";"Disability_1",#N/A,FALSE,"Trend Form";"Detail_1",#N/A,FALSE,"Trend Form";"Regular_2",#N/A,FALSE,"Trend Form";"Disability_2",#N/A,FALSE,"Trend Form";"Detail_2",#N/A,FALSE,"Trend Form"}</definedName>
    <definedName name="wrn.Draft_COBRA_1_2." localSheetId="32" hidden="1">{"Regular_1",#N/A,FALSE,"Trend Form";"Disability_1",#N/A,FALSE,"Trend Form";"Detail_1",#N/A,FALSE,"Trend Form";"Regular_2",#N/A,FALSE,"Trend Form";"Disability_2",#N/A,FALSE,"Trend Form";"Detail_2",#N/A,FALSE,"Trend Form"}</definedName>
    <definedName name="wrn.Draft_COBRA_1_2." localSheetId="34" hidden="1">{"Regular_1",#N/A,FALSE,"Trend Form";"Disability_1",#N/A,FALSE,"Trend Form";"Detail_1",#N/A,FALSE,"Trend Form";"Regular_2",#N/A,FALSE,"Trend Form";"Disability_2",#N/A,FALSE,"Trend Form";"Detail_2",#N/A,FALSE,"Trend Form"}</definedName>
    <definedName name="wrn.Draft_COBRA_1_2." localSheetId="36" hidden="1">{"Regular_1",#N/A,FALSE,"Trend Form";"Disability_1",#N/A,FALSE,"Trend Form";"Detail_1",#N/A,FALSE,"Trend Form";"Regular_2",#N/A,FALSE,"Trend Form";"Disability_2",#N/A,FALSE,"Trend Form";"Detail_2",#N/A,FALSE,"Trend Form"}</definedName>
    <definedName name="wrn.Draft_COBRA_1_2." localSheetId="38" hidden="1">{"Regular_1",#N/A,FALSE,"Trend Form";"Disability_1",#N/A,FALSE,"Trend Form";"Detail_1",#N/A,FALSE,"Trend Form";"Regular_2",#N/A,FALSE,"Trend Form";"Disability_2",#N/A,FALSE,"Trend Form";"Detail_2",#N/A,FALSE,"Trend Form"}</definedName>
    <definedName name="wrn.Draft_COBRA_1_2." localSheetId="42" hidden="1">{"Regular_1",#N/A,FALSE,"Trend Form";"Disability_1",#N/A,FALSE,"Trend Form";"Detail_1",#N/A,FALSE,"Trend Form";"Regular_2",#N/A,FALSE,"Trend Form";"Disability_2",#N/A,FALSE,"Trend Form";"Detail_2",#N/A,FALSE,"Trend Form"}</definedName>
    <definedName name="wrn.Draft_COBRA_1_2." localSheetId="44" hidden="1">{"Regular_1",#N/A,FALSE,"Trend Form";"Disability_1",#N/A,FALSE,"Trend Form";"Detail_1",#N/A,FALSE,"Trend Form";"Regular_2",#N/A,FALSE,"Trend Form";"Disability_2",#N/A,FALSE,"Trend Form";"Detail_2",#N/A,FALSE,"Trend Form"}</definedName>
    <definedName name="wrn.Draft_COBRA_1_2." localSheetId="46" hidden="1">{"Regular_1",#N/A,FALSE,"Trend Form";"Disability_1",#N/A,FALSE,"Trend Form";"Detail_1",#N/A,FALSE,"Trend Form";"Regular_2",#N/A,FALSE,"Trend Form";"Disability_2",#N/A,FALSE,"Trend Form";"Detail_2",#N/A,FALSE,"Trend Form"}</definedName>
    <definedName name="wrn.Draft_COBRA_1_2." localSheetId="8" hidden="1">{"Regular_1",#N/A,FALSE,"Trend Form";"Disability_1",#N/A,FALSE,"Trend Form";"Detail_1",#N/A,FALSE,"Trend Form";"Regular_2",#N/A,FALSE,"Trend Form";"Disability_2",#N/A,FALSE,"Trend Form";"Detail_2",#N/A,FALSE,"Trend Form"}</definedName>
    <definedName name="wrn.Draft_COBRA_1_2." localSheetId="10" hidden="1">{"Regular_1",#N/A,FALSE,"Trend Form";"Disability_1",#N/A,FALSE,"Trend Form";"Detail_1",#N/A,FALSE,"Trend Form";"Regular_2",#N/A,FALSE,"Trend Form";"Disability_2",#N/A,FALSE,"Trend Form";"Detail_2",#N/A,FALSE,"Trend Form"}</definedName>
    <definedName name="wrn.Draft_COBRA_1_2." localSheetId="12" hidden="1">{"Regular_1",#N/A,FALSE,"Trend Form";"Disability_1",#N/A,FALSE,"Trend Form";"Detail_1",#N/A,FALSE,"Trend Form";"Regular_2",#N/A,FALSE,"Trend Form";"Disability_2",#N/A,FALSE,"Trend Form";"Detail_2",#N/A,FALSE,"Trend Form"}</definedName>
    <definedName name="wrn.Draft_COBRA_1_2." localSheetId="5" hidden="1">{"Regular_1",#N/A,FALSE,"Trend Form";"Disability_1",#N/A,FALSE,"Trend Form";"Detail_1",#N/A,FALSE,"Trend Form";"Regular_2",#N/A,FALSE,"Trend Form";"Disability_2",#N/A,FALSE,"Trend Form";"Detail_2",#N/A,FALSE,"Trend Form"}</definedName>
    <definedName name="wrn.Draft_COBRA_1_2." localSheetId="13" hidden="1">{"Regular_1",#N/A,FALSE,"Trend Form";"Disability_1",#N/A,FALSE,"Trend Form";"Detail_1",#N/A,FALSE,"Trend Form";"Regular_2",#N/A,FALSE,"Trend Form";"Disability_2",#N/A,FALSE,"Trend Form";"Detail_2",#N/A,FALSE,"Trend Form"}</definedName>
    <definedName name="wrn.Draft_COBRA_1_2." localSheetId="15" hidden="1">{"Regular_1",#N/A,FALSE,"Trend Form";"Disability_1",#N/A,FALSE,"Trend Form";"Detail_1",#N/A,FALSE,"Trend Form";"Regular_2",#N/A,FALSE,"Trend Form";"Disability_2",#N/A,FALSE,"Trend Form";"Detail_2",#N/A,FALSE,"Trend Form"}</definedName>
    <definedName name="wrn.Draft_COBRA_1_2." localSheetId="17" hidden="1">{"Regular_1",#N/A,FALSE,"Trend Form";"Disability_1",#N/A,FALSE,"Trend Form";"Detail_1",#N/A,FALSE,"Trend Form";"Regular_2",#N/A,FALSE,"Trend Form";"Disability_2",#N/A,FALSE,"Trend Form";"Detail_2",#N/A,FALSE,"Trend Form"}</definedName>
    <definedName name="wrn.Draft_COBRA_1_2." localSheetId="19" hidden="1">{"Regular_1",#N/A,FALSE,"Trend Form";"Disability_1",#N/A,FALSE,"Trend Form";"Detail_1",#N/A,FALSE,"Trend Form";"Regular_2",#N/A,FALSE,"Trend Form";"Disability_2",#N/A,FALSE,"Trend Form";"Detail_2",#N/A,FALSE,"Trend Form"}</definedName>
    <definedName name="wrn.Draft_COBRA_1_2." localSheetId="21" hidden="1">{"Regular_1",#N/A,FALSE,"Trend Form";"Disability_1",#N/A,FALSE,"Trend Form";"Detail_1",#N/A,FALSE,"Trend Form";"Regular_2",#N/A,FALSE,"Trend Form";"Disability_2",#N/A,FALSE,"Trend Form";"Detail_2",#N/A,FALSE,"Trend Form"}</definedName>
    <definedName name="wrn.Draft_COBRA_1_2." localSheetId="23" hidden="1">{"Regular_1",#N/A,FALSE,"Trend Form";"Disability_1",#N/A,FALSE,"Trend Form";"Detail_1",#N/A,FALSE,"Trend Form";"Regular_2",#N/A,FALSE,"Trend Form";"Disability_2",#N/A,FALSE,"Trend Form";"Detail_2",#N/A,FALSE,"Trend Form"}</definedName>
    <definedName name="wrn.Draft_COBRA_1_2." localSheetId="25" hidden="1">{"Regular_1",#N/A,FALSE,"Trend Form";"Disability_1",#N/A,FALSE,"Trend Form";"Detail_1",#N/A,FALSE,"Trend Form";"Regular_2",#N/A,FALSE,"Trend Form";"Disability_2",#N/A,FALSE,"Trend Form";"Detail_2",#N/A,FALSE,"Trend Form"}</definedName>
    <definedName name="wrn.Draft_COBRA_1_2." localSheetId="27" hidden="1">{"Regular_1",#N/A,FALSE,"Trend Form";"Disability_1",#N/A,FALSE,"Trend Form";"Detail_1",#N/A,FALSE,"Trend Form";"Regular_2",#N/A,FALSE,"Trend Form";"Disability_2",#N/A,FALSE,"Trend Form";"Detail_2",#N/A,FALSE,"Trend Form"}</definedName>
    <definedName name="wrn.Draft_COBRA_1_2." localSheetId="29" hidden="1">{"Regular_1",#N/A,FALSE,"Trend Form";"Disability_1",#N/A,FALSE,"Trend Form";"Detail_1",#N/A,FALSE,"Trend Form";"Regular_2",#N/A,FALSE,"Trend Form";"Disability_2",#N/A,FALSE,"Trend Form";"Detail_2",#N/A,FALSE,"Trend Form"}</definedName>
    <definedName name="wrn.Draft_COBRA_1_2." localSheetId="31" hidden="1">{"Regular_1",#N/A,FALSE,"Trend Form";"Disability_1",#N/A,FALSE,"Trend Form";"Detail_1",#N/A,FALSE,"Trend Form";"Regular_2",#N/A,FALSE,"Trend Form";"Disability_2",#N/A,FALSE,"Trend Form";"Detail_2",#N/A,FALSE,"Trend Form"}</definedName>
    <definedName name="wrn.Draft_COBRA_1_2." localSheetId="33" hidden="1">{"Regular_1",#N/A,FALSE,"Trend Form";"Disability_1",#N/A,FALSE,"Trend Form";"Detail_1",#N/A,FALSE,"Trend Form";"Regular_2",#N/A,FALSE,"Trend Form";"Disability_2",#N/A,FALSE,"Trend Form";"Detail_2",#N/A,FALSE,"Trend Form"}</definedName>
    <definedName name="wrn.Draft_COBRA_1_2." localSheetId="35" hidden="1">{"Regular_1",#N/A,FALSE,"Trend Form";"Disability_1",#N/A,FALSE,"Trend Form";"Detail_1",#N/A,FALSE,"Trend Form";"Regular_2",#N/A,FALSE,"Trend Form";"Disability_2",#N/A,FALSE,"Trend Form";"Detail_2",#N/A,FALSE,"Trend Form"}</definedName>
    <definedName name="wrn.Draft_COBRA_1_2." localSheetId="37" hidden="1">{"Regular_1",#N/A,FALSE,"Trend Form";"Disability_1",#N/A,FALSE,"Trend Form";"Detail_1",#N/A,FALSE,"Trend Form";"Regular_2",#N/A,FALSE,"Trend Form";"Disability_2",#N/A,FALSE,"Trend Form";"Detail_2",#N/A,FALSE,"Trend Form"}</definedName>
    <definedName name="wrn.Draft_COBRA_1_2." localSheetId="41" hidden="1">{"Regular_1",#N/A,FALSE,"Trend Form";"Disability_1",#N/A,FALSE,"Trend Form";"Detail_1",#N/A,FALSE,"Trend Form";"Regular_2",#N/A,FALSE,"Trend Form";"Disability_2",#N/A,FALSE,"Trend Form";"Detail_2",#N/A,FALSE,"Trend Form"}</definedName>
    <definedName name="wrn.Draft_COBRA_1_2." localSheetId="43" hidden="1">{"Regular_1",#N/A,FALSE,"Trend Form";"Disability_1",#N/A,FALSE,"Trend Form";"Detail_1",#N/A,FALSE,"Trend Form";"Regular_2",#N/A,FALSE,"Trend Form";"Disability_2",#N/A,FALSE,"Trend Form";"Detail_2",#N/A,FALSE,"Trend Form"}</definedName>
    <definedName name="wrn.Draft_COBRA_1_2." localSheetId="45" hidden="1">{"Regular_1",#N/A,FALSE,"Trend Form";"Disability_1",#N/A,FALSE,"Trend Form";"Detail_1",#N/A,FALSE,"Trend Form";"Regular_2",#N/A,FALSE,"Trend Form";"Disability_2",#N/A,FALSE,"Trend Form";"Detail_2",#N/A,FALSE,"Trend Form"}</definedName>
    <definedName name="wrn.Draft_COBRA_1_2." localSheetId="7" hidden="1">{"Regular_1",#N/A,FALSE,"Trend Form";"Disability_1",#N/A,FALSE,"Trend Form";"Detail_1",#N/A,FALSE,"Trend Form";"Regular_2",#N/A,FALSE,"Trend Form";"Disability_2",#N/A,FALSE,"Trend Form";"Detail_2",#N/A,FALSE,"Trend Form"}</definedName>
    <definedName name="wrn.Draft_COBRA_1_2." localSheetId="9" hidden="1">{"Regular_1",#N/A,FALSE,"Trend Form";"Disability_1",#N/A,FALSE,"Trend Form";"Detail_1",#N/A,FALSE,"Trend Form";"Regular_2",#N/A,FALSE,"Trend Form";"Disability_2",#N/A,FALSE,"Trend Form";"Detail_2",#N/A,FALSE,"Trend Form"}</definedName>
    <definedName name="wrn.Draft_COBRA_1_2." localSheetId="11" hidden="1">{"Regular_1",#N/A,FALSE,"Trend Form";"Disability_1",#N/A,FALSE,"Trend Form";"Detail_1",#N/A,FALSE,"Trend Form";"Regular_2",#N/A,FALSE,"Trend Form";"Disability_2",#N/A,FALSE,"Trend Form";"Detail_2",#N/A,FALSE,"Trend Form"}</definedName>
    <definedName name="wrn.Draft_COBRA_1_2." localSheetId="53" hidden="1">{"Regular_1",#N/A,FALSE,"Trend Form";"Disability_1",#N/A,FALSE,"Trend Form";"Detail_1",#N/A,FALSE,"Trend Form";"Regular_2",#N/A,FALSE,"Trend Form";"Disability_2",#N/A,FALSE,"Trend Form";"Detail_2",#N/A,FALSE,"Trend Form"}</definedName>
    <definedName name="wrn.Draft_COBRA_1_2." localSheetId="69" hidden="1">{"Regular_1",#N/A,FALSE,"Trend Form";"Disability_1",#N/A,FALSE,"Trend Form";"Detail_1",#N/A,FALSE,"Trend Form";"Regular_2",#N/A,FALSE,"Trend Form";"Disability_2",#N/A,FALSE,"Trend Form";"Detail_2",#N/A,FALSE,"Trend Form"}</definedName>
    <definedName name="wrn.Draft_COBRA_1_2." localSheetId="75" hidden="1">{"Regular_1",#N/A,FALSE,"Trend Form";"Disability_1",#N/A,FALSE,"Trend Form";"Detail_1",#N/A,FALSE,"Trend Form";"Regular_2",#N/A,FALSE,"Trend Form";"Disability_2",#N/A,FALSE,"Trend Form";"Detail_2",#N/A,FALSE,"Trend Form"}</definedName>
    <definedName name="wrn.Draft_COBRA_1_2." localSheetId="55" hidden="1">{"Regular_1",#N/A,FALSE,"Trend Form";"Disability_1",#N/A,FALSE,"Trend Form";"Detail_1",#N/A,FALSE,"Trend Form";"Regular_2",#N/A,FALSE,"Trend Form";"Disability_2",#N/A,FALSE,"Trend Form";"Detail_2",#N/A,FALSE,"Trend Form"}</definedName>
    <definedName name="wrn.Draft_COBRA_1_2." localSheetId="57" hidden="1">{"Regular_1",#N/A,FALSE,"Trend Form";"Disability_1",#N/A,FALSE,"Trend Form";"Detail_1",#N/A,FALSE,"Trend Form";"Regular_2",#N/A,FALSE,"Trend Form";"Disability_2",#N/A,FALSE,"Trend Form";"Detail_2",#N/A,FALSE,"Trend Form"}</definedName>
    <definedName name="wrn.Draft_COBRA_1_2." localSheetId="59" hidden="1">{"Regular_1",#N/A,FALSE,"Trend Form";"Disability_1",#N/A,FALSE,"Trend Form";"Detail_1",#N/A,FALSE,"Trend Form";"Regular_2",#N/A,FALSE,"Trend Form";"Disability_2",#N/A,FALSE,"Trend Form";"Detail_2",#N/A,FALSE,"Trend Form"}</definedName>
    <definedName name="wrn.Draft_COBRA_1_2." localSheetId="61" hidden="1">{"Regular_1",#N/A,FALSE,"Trend Form";"Disability_1",#N/A,FALSE,"Trend Form";"Detail_1",#N/A,FALSE,"Trend Form";"Regular_2",#N/A,FALSE,"Trend Form";"Disability_2",#N/A,FALSE,"Trend Form";"Detail_2",#N/A,FALSE,"Trend Form"}</definedName>
    <definedName name="wrn.Draft_COBRA_1_2." localSheetId="63" hidden="1">{"Regular_1",#N/A,FALSE,"Trend Form";"Disability_1",#N/A,FALSE,"Trend Form";"Detail_1",#N/A,FALSE,"Trend Form";"Regular_2",#N/A,FALSE,"Trend Form";"Disability_2",#N/A,FALSE,"Trend Form";"Detail_2",#N/A,FALSE,"Trend Form"}</definedName>
    <definedName name="wrn.Draft_COBRA_1_2." localSheetId="65" hidden="1">{"Regular_1",#N/A,FALSE,"Trend Form";"Disability_1",#N/A,FALSE,"Trend Form";"Detail_1",#N/A,FALSE,"Trend Form";"Regular_2",#N/A,FALSE,"Trend Form";"Disability_2",#N/A,FALSE,"Trend Form";"Detail_2",#N/A,FALSE,"Trend Form"}</definedName>
    <definedName name="wrn.Draft_COBRA_1_2." localSheetId="67" hidden="1">{"Regular_1",#N/A,FALSE,"Trend Form";"Disability_1",#N/A,FALSE,"Trend Form";"Detail_1",#N/A,FALSE,"Trend Form";"Regular_2",#N/A,FALSE,"Trend Form";"Disability_2",#N/A,FALSE,"Trend Form";"Detail_2",#N/A,FALSE,"Trend Form"}</definedName>
    <definedName name="wrn.Draft_COBRA_1_2." localSheetId="52" hidden="1">{"Regular_1",#N/A,FALSE,"Trend Form";"Disability_1",#N/A,FALSE,"Trend Form";"Detail_1",#N/A,FALSE,"Trend Form";"Regular_2",#N/A,FALSE,"Trend Form";"Disability_2",#N/A,FALSE,"Trend Form";"Detail_2",#N/A,FALSE,"Trend Form"}</definedName>
    <definedName name="wrn.Draft_COBRA_1_2." localSheetId="68" hidden="1">{"Regular_1",#N/A,FALSE,"Trend Form";"Disability_1",#N/A,FALSE,"Trend Form";"Detail_1",#N/A,FALSE,"Trend Form";"Regular_2",#N/A,FALSE,"Trend Form";"Disability_2",#N/A,FALSE,"Trend Form";"Detail_2",#N/A,FALSE,"Trend Form"}</definedName>
    <definedName name="wrn.Draft_COBRA_1_2." localSheetId="74" hidden="1">{"Regular_1",#N/A,FALSE,"Trend Form";"Disability_1",#N/A,FALSE,"Trend Form";"Detail_1",#N/A,FALSE,"Trend Form";"Regular_2",#N/A,FALSE,"Trend Form";"Disability_2",#N/A,FALSE,"Trend Form";"Detail_2",#N/A,FALSE,"Trend Form"}</definedName>
    <definedName name="wrn.Draft_COBRA_1_2." localSheetId="54" hidden="1">{"Regular_1",#N/A,FALSE,"Trend Form";"Disability_1",#N/A,FALSE,"Trend Form";"Detail_1",#N/A,FALSE,"Trend Form";"Regular_2",#N/A,FALSE,"Trend Form";"Disability_2",#N/A,FALSE,"Trend Form";"Detail_2",#N/A,FALSE,"Trend Form"}</definedName>
    <definedName name="wrn.Draft_COBRA_1_2." localSheetId="56" hidden="1">{"Regular_1",#N/A,FALSE,"Trend Form";"Disability_1",#N/A,FALSE,"Trend Form";"Detail_1",#N/A,FALSE,"Trend Form";"Regular_2",#N/A,FALSE,"Trend Form";"Disability_2",#N/A,FALSE,"Trend Form";"Detail_2",#N/A,FALSE,"Trend Form"}</definedName>
    <definedName name="wrn.Draft_COBRA_1_2." localSheetId="58" hidden="1">{"Regular_1",#N/A,FALSE,"Trend Form";"Disability_1",#N/A,FALSE,"Trend Form";"Detail_1",#N/A,FALSE,"Trend Form";"Regular_2",#N/A,FALSE,"Trend Form";"Disability_2",#N/A,FALSE,"Trend Form";"Detail_2",#N/A,FALSE,"Trend Form"}</definedName>
    <definedName name="wrn.Draft_COBRA_1_2." localSheetId="60" hidden="1">{"Regular_1",#N/A,FALSE,"Trend Form";"Disability_1",#N/A,FALSE,"Trend Form";"Detail_1",#N/A,FALSE,"Trend Form";"Regular_2",#N/A,FALSE,"Trend Form";"Disability_2",#N/A,FALSE,"Trend Form";"Detail_2",#N/A,FALSE,"Trend Form"}</definedName>
    <definedName name="wrn.Draft_COBRA_1_2." localSheetId="62" hidden="1">{"Regular_1",#N/A,FALSE,"Trend Form";"Disability_1",#N/A,FALSE,"Trend Form";"Detail_1",#N/A,FALSE,"Trend Form";"Regular_2",#N/A,FALSE,"Trend Form";"Disability_2",#N/A,FALSE,"Trend Form";"Detail_2",#N/A,FALSE,"Trend Form"}</definedName>
    <definedName name="wrn.Draft_COBRA_1_2." localSheetId="64" hidden="1">{"Regular_1",#N/A,FALSE,"Trend Form";"Disability_1",#N/A,FALSE,"Trend Form";"Detail_1",#N/A,FALSE,"Trend Form";"Regular_2",#N/A,FALSE,"Trend Form";"Disability_2",#N/A,FALSE,"Trend Form";"Detail_2",#N/A,FALSE,"Trend Form"}</definedName>
    <definedName name="wrn.Draft_COBRA_1_2." localSheetId="66" hidden="1">{"Regular_1",#N/A,FALSE,"Trend Form";"Disability_1",#N/A,FALSE,"Trend Form";"Detail_1",#N/A,FALSE,"Trend Form";"Regular_2",#N/A,FALSE,"Trend Form";"Disability_2",#N/A,FALSE,"Trend Form";"Detail_2",#N/A,FALSE,"Trend Form"}</definedName>
    <definedName name="wrn.Draft_COBRA_1_2." localSheetId="78" hidden="1">{"Regular_1",#N/A,FALSE,"Trend Form";"Disability_1",#N/A,FALSE,"Trend Form";"Detail_1",#N/A,FALSE,"Trend Form";"Regular_2",#N/A,FALSE,"Trend Form";"Disability_2",#N/A,FALSE,"Trend Form";"Detail_2",#N/A,FALSE,"Trend Form"}</definedName>
    <definedName name="wrn.Draft_COBRA_1_2." localSheetId="80" hidden="1">{"Regular_1",#N/A,FALSE,"Trend Form";"Disability_1",#N/A,FALSE,"Trend Form";"Detail_1",#N/A,FALSE,"Trend Form";"Regular_2",#N/A,FALSE,"Trend Form";"Disability_2",#N/A,FALSE,"Trend Form";"Detail_2",#N/A,FALSE,"Trend Form"}</definedName>
    <definedName name="wrn.Draft_COBRA_1_2." localSheetId="82" hidden="1">{"Regular_1",#N/A,FALSE,"Trend Form";"Disability_1",#N/A,FALSE,"Trend Form";"Detail_1",#N/A,FALSE,"Trend Form";"Regular_2",#N/A,FALSE,"Trend Form";"Disability_2",#N/A,FALSE,"Trend Form";"Detail_2",#N/A,FALSE,"Trend Form"}</definedName>
    <definedName name="wrn.Draft_COBRA_1_2." localSheetId="85" hidden="1">{"Regular_1",#N/A,FALSE,"Trend Form";"Disability_1",#N/A,FALSE,"Trend Form";"Detail_1",#N/A,FALSE,"Trend Form";"Regular_2",#N/A,FALSE,"Trend Form";"Disability_2",#N/A,FALSE,"Trend Form";"Detail_2",#N/A,FALSE,"Trend Form"}</definedName>
    <definedName name="wrn.Draft_COBRA_1_2." localSheetId="87" hidden="1">{"Regular_1",#N/A,FALSE,"Trend Form";"Disability_1",#N/A,FALSE,"Trend Form";"Detail_1",#N/A,FALSE,"Trend Form";"Regular_2",#N/A,FALSE,"Trend Form";"Disability_2",#N/A,FALSE,"Trend Form";"Detail_2",#N/A,FALSE,"Trend Form"}</definedName>
    <definedName name="wrn.Draft_COBRA_1_2." localSheetId="77" hidden="1">{"Regular_1",#N/A,FALSE,"Trend Form";"Disability_1",#N/A,FALSE,"Trend Form";"Detail_1",#N/A,FALSE,"Trend Form";"Regular_2",#N/A,FALSE,"Trend Form";"Disability_2",#N/A,FALSE,"Trend Form";"Detail_2",#N/A,FALSE,"Trend Form"}</definedName>
    <definedName name="wrn.Draft_COBRA_1_2." localSheetId="79" hidden="1">{"Regular_1",#N/A,FALSE,"Trend Form";"Disability_1",#N/A,FALSE,"Trend Form";"Detail_1",#N/A,FALSE,"Trend Form";"Regular_2",#N/A,FALSE,"Trend Form";"Disability_2",#N/A,FALSE,"Trend Form";"Detail_2",#N/A,FALSE,"Trend Form"}</definedName>
    <definedName name="wrn.Draft_COBRA_1_2." localSheetId="81" hidden="1">{"Regular_1",#N/A,FALSE,"Trend Form";"Disability_1",#N/A,FALSE,"Trend Form";"Detail_1",#N/A,FALSE,"Trend Form";"Regular_2",#N/A,FALSE,"Trend Form";"Disability_2",#N/A,FALSE,"Trend Form";"Detail_2",#N/A,FALSE,"Trend Form"}</definedName>
    <definedName name="wrn.Draft_COBRA_1_2." localSheetId="83" hidden="1">{"Regular_1",#N/A,FALSE,"Trend Form";"Disability_1",#N/A,FALSE,"Trend Form";"Detail_1",#N/A,FALSE,"Trend Form";"Regular_2",#N/A,FALSE,"Trend Form";"Disability_2",#N/A,FALSE,"Trend Form";"Detail_2",#N/A,FALSE,"Trend Form"}</definedName>
    <definedName name="wrn.Draft_COBRA_1_2." localSheetId="84" hidden="1">{"Regular_1",#N/A,FALSE,"Trend Form";"Disability_1",#N/A,FALSE,"Trend Form";"Detail_1",#N/A,FALSE,"Trend Form";"Regular_2",#N/A,FALSE,"Trend Form";"Disability_2",#N/A,FALSE,"Trend Form";"Detail_2",#N/A,FALSE,"Trend Form"}</definedName>
    <definedName name="wrn.Draft_COBRA_1_2." localSheetId="86" hidden="1">{"Regular_1",#N/A,FALSE,"Trend Form";"Disability_1",#N/A,FALSE,"Trend Form";"Detail_1",#N/A,FALSE,"Trend Form";"Regular_2",#N/A,FALSE,"Trend Form";"Disability_2",#N/A,FALSE,"Trend Form";"Detail_2",#N/A,FALSE,"Trend Form"}</definedName>
    <definedName name="wrn.Draft_COBRA_1_2." hidden="1">{"Regular_1",#N/A,FALSE,"Trend Form";"Disability_1",#N/A,FALSE,"Trend Form";"Detail_1",#N/A,FALSE,"Trend Form";"Regular_2",#N/A,FALSE,"Trend Form";"Disability_2",#N/A,FALSE,"Trend Form";"Detail_2",#N/A,FALSE,"Trend Form"}</definedName>
    <definedName name="wrn.Draft_COBRA_1_2_3." localSheetId="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0"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0"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0"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2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3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4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1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5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0"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6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8"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0"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2"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5"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7"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79"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4"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localSheetId="86"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_4." localSheetId="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2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3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4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1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5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6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7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localSheetId="8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Report." localSheetId="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0"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0"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0"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2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3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4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1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5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0"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6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8"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0"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2"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5"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7"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79"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1"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3"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4"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localSheetId="86"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 hidden="1">{"Summary",#N/A,FALSE,"Chart Input III";"Aggregate",#N/A,FALSE,"Chart Input III";"Annual_Change",#N/A,FALSE,"Trend Form";"PMPM",#N/A,FALSE,"Chart Input III";"PMPM_Change",#N/A,FALSE,"Trend Form";"Proj_Change",#N/A,FALSE,"Chart Input I";"Partial",#N/A,FALSE,"Chart Input III";"Expense_Chart",#N/A,FALSE,"Chart Input III";"Input",#N/A,FALSE,"Chart Input III";"Assumptions",#N/A,FALSE,"Chart Input III";"Retiree",#N/A,FALSE,"Chart Input III";"Res_Chart",#N/A,FALSE,"Chart Input III";"Reserves",#N/A,FALSE,"Chart Input III";"Trend",#N/A,FALSE,"Trend Form"}</definedName>
    <definedName name="wrn.Draft_Report_All." localSheetId="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2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3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4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1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5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6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8"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0"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2"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5"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7"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79"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3"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localSheetId="86"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Self." localSheetId="3" hidden="1">{"Self_Summary",#N/A,FALSE,"Trend Form";"Self_Detail_1",#N/A,FALSE,"Trend Form";"Self_Detail_2",#N/A,FALSE,"Trend Form";"Self_Detail_3",#N/A,FALSE,"Trend Form"}</definedName>
    <definedName name="wrn.Draft_Self." localSheetId="2" hidden="1">{"Self_Summary",#N/A,FALSE,"Trend Form";"Self_Detail_1",#N/A,FALSE,"Trend Form";"Self_Detail_2",#N/A,FALSE,"Trend Form";"Self_Detail_3",#N/A,FALSE,"Trend Form"}</definedName>
    <definedName name="wrn.Draft_Self." localSheetId="6" hidden="1">{"Self_Summary",#N/A,FALSE,"Trend Form";"Self_Detail_1",#N/A,FALSE,"Trend Form";"Self_Detail_2",#N/A,FALSE,"Trend Form";"Self_Detail_3",#N/A,FALSE,"Trend Form"}</definedName>
    <definedName name="wrn.Draft_Self." localSheetId="14" hidden="1">{"Self_Summary",#N/A,FALSE,"Trend Form";"Self_Detail_1",#N/A,FALSE,"Trend Form";"Self_Detail_2",#N/A,FALSE,"Trend Form";"Self_Detail_3",#N/A,FALSE,"Trend Form"}</definedName>
    <definedName name="wrn.Draft_Self." localSheetId="16" hidden="1">{"Self_Summary",#N/A,FALSE,"Trend Form";"Self_Detail_1",#N/A,FALSE,"Trend Form";"Self_Detail_2",#N/A,FALSE,"Trend Form";"Self_Detail_3",#N/A,FALSE,"Trend Form"}</definedName>
    <definedName name="wrn.Draft_Self." localSheetId="18" hidden="1">{"Self_Summary",#N/A,FALSE,"Trend Form";"Self_Detail_1",#N/A,FALSE,"Trend Form";"Self_Detail_2",#N/A,FALSE,"Trend Form";"Self_Detail_3",#N/A,FALSE,"Trend Form"}</definedName>
    <definedName name="wrn.Draft_Self." localSheetId="20" hidden="1">{"Self_Summary",#N/A,FALSE,"Trend Form";"Self_Detail_1",#N/A,FALSE,"Trend Form";"Self_Detail_2",#N/A,FALSE,"Trend Form";"Self_Detail_3",#N/A,FALSE,"Trend Form"}</definedName>
    <definedName name="wrn.Draft_Self." localSheetId="22" hidden="1">{"Self_Summary",#N/A,FALSE,"Trend Form";"Self_Detail_1",#N/A,FALSE,"Trend Form";"Self_Detail_2",#N/A,FALSE,"Trend Form";"Self_Detail_3",#N/A,FALSE,"Trend Form"}</definedName>
    <definedName name="wrn.Draft_Self." localSheetId="24" hidden="1">{"Self_Summary",#N/A,FALSE,"Trend Form";"Self_Detail_1",#N/A,FALSE,"Trend Form";"Self_Detail_2",#N/A,FALSE,"Trend Form";"Self_Detail_3",#N/A,FALSE,"Trend Form"}</definedName>
    <definedName name="wrn.Draft_Self." localSheetId="26" hidden="1">{"Self_Summary",#N/A,FALSE,"Trend Form";"Self_Detail_1",#N/A,FALSE,"Trend Form";"Self_Detail_2",#N/A,FALSE,"Trend Form";"Self_Detail_3",#N/A,FALSE,"Trend Form"}</definedName>
    <definedName name="wrn.Draft_Self." localSheetId="28" hidden="1">{"Self_Summary",#N/A,FALSE,"Trend Form";"Self_Detail_1",#N/A,FALSE,"Trend Form";"Self_Detail_2",#N/A,FALSE,"Trend Form";"Self_Detail_3",#N/A,FALSE,"Trend Form"}</definedName>
    <definedName name="wrn.Draft_Self." localSheetId="30" hidden="1">{"Self_Summary",#N/A,FALSE,"Trend Form";"Self_Detail_1",#N/A,FALSE,"Trend Form";"Self_Detail_2",#N/A,FALSE,"Trend Form";"Self_Detail_3",#N/A,FALSE,"Trend Form"}</definedName>
    <definedName name="wrn.Draft_Self." localSheetId="32" hidden="1">{"Self_Summary",#N/A,FALSE,"Trend Form";"Self_Detail_1",#N/A,FALSE,"Trend Form";"Self_Detail_2",#N/A,FALSE,"Trend Form";"Self_Detail_3",#N/A,FALSE,"Trend Form"}</definedName>
    <definedName name="wrn.Draft_Self." localSheetId="34" hidden="1">{"Self_Summary",#N/A,FALSE,"Trend Form";"Self_Detail_1",#N/A,FALSE,"Trend Form";"Self_Detail_2",#N/A,FALSE,"Trend Form";"Self_Detail_3",#N/A,FALSE,"Trend Form"}</definedName>
    <definedName name="wrn.Draft_Self." localSheetId="36" hidden="1">{"Self_Summary",#N/A,FALSE,"Trend Form";"Self_Detail_1",#N/A,FALSE,"Trend Form";"Self_Detail_2",#N/A,FALSE,"Trend Form";"Self_Detail_3",#N/A,FALSE,"Trend Form"}</definedName>
    <definedName name="wrn.Draft_Self." localSheetId="38" hidden="1">{"Self_Summary",#N/A,FALSE,"Trend Form";"Self_Detail_1",#N/A,FALSE,"Trend Form";"Self_Detail_2",#N/A,FALSE,"Trend Form";"Self_Detail_3",#N/A,FALSE,"Trend Form"}</definedName>
    <definedName name="wrn.Draft_Self." localSheetId="42" hidden="1">{"Self_Summary",#N/A,FALSE,"Trend Form";"Self_Detail_1",#N/A,FALSE,"Trend Form";"Self_Detail_2",#N/A,FALSE,"Trend Form";"Self_Detail_3",#N/A,FALSE,"Trend Form"}</definedName>
    <definedName name="wrn.Draft_Self." localSheetId="44" hidden="1">{"Self_Summary",#N/A,FALSE,"Trend Form";"Self_Detail_1",#N/A,FALSE,"Trend Form";"Self_Detail_2",#N/A,FALSE,"Trend Form";"Self_Detail_3",#N/A,FALSE,"Trend Form"}</definedName>
    <definedName name="wrn.Draft_Self." localSheetId="46" hidden="1">{"Self_Summary",#N/A,FALSE,"Trend Form";"Self_Detail_1",#N/A,FALSE,"Trend Form";"Self_Detail_2",#N/A,FALSE,"Trend Form";"Self_Detail_3",#N/A,FALSE,"Trend Form"}</definedName>
    <definedName name="wrn.Draft_Self." localSheetId="8" hidden="1">{"Self_Summary",#N/A,FALSE,"Trend Form";"Self_Detail_1",#N/A,FALSE,"Trend Form";"Self_Detail_2",#N/A,FALSE,"Trend Form";"Self_Detail_3",#N/A,FALSE,"Trend Form"}</definedName>
    <definedName name="wrn.Draft_Self." localSheetId="10" hidden="1">{"Self_Summary",#N/A,FALSE,"Trend Form";"Self_Detail_1",#N/A,FALSE,"Trend Form";"Self_Detail_2",#N/A,FALSE,"Trend Form";"Self_Detail_3",#N/A,FALSE,"Trend Form"}</definedName>
    <definedName name="wrn.Draft_Self." localSheetId="12" hidden="1">{"Self_Summary",#N/A,FALSE,"Trend Form";"Self_Detail_1",#N/A,FALSE,"Trend Form";"Self_Detail_2",#N/A,FALSE,"Trend Form";"Self_Detail_3",#N/A,FALSE,"Trend Form"}</definedName>
    <definedName name="wrn.Draft_Self." localSheetId="5" hidden="1">{"Self_Summary",#N/A,FALSE,"Trend Form";"Self_Detail_1",#N/A,FALSE,"Trend Form";"Self_Detail_2",#N/A,FALSE,"Trend Form";"Self_Detail_3",#N/A,FALSE,"Trend Form"}</definedName>
    <definedName name="wrn.Draft_Self." localSheetId="13" hidden="1">{"Self_Summary",#N/A,FALSE,"Trend Form";"Self_Detail_1",#N/A,FALSE,"Trend Form";"Self_Detail_2",#N/A,FALSE,"Trend Form";"Self_Detail_3",#N/A,FALSE,"Trend Form"}</definedName>
    <definedName name="wrn.Draft_Self." localSheetId="15" hidden="1">{"Self_Summary",#N/A,FALSE,"Trend Form";"Self_Detail_1",#N/A,FALSE,"Trend Form";"Self_Detail_2",#N/A,FALSE,"Trend Form";"Self_Detail_3",#N/A,FALSE,"Trend Form"}</definedName>
    <definedName name="wrn.Draft_Self." localSheetId="17" hidden="1">{"Self_Summary",#N/A,FALSE,"Trend Form";"Self_Detail_1",#N/A,FALSE,"Trend Form";"Self_Detail_2",#N/A,FALSE,"Trend Form";"Self_Detail_3",#N/A,FALSE,"Trend Form"}</definedName>
    <definedName name="wrn.Draft_Self." localSheetId="19" hidden="1">{"Self_Summary",#N/A,FALSE,"Trend Form";"Self_Detail_1",#N/A,FALSE,"Trend Form";"Self_Detail_2",#N/A,FALSE,"Trend Form";"Self_Detail_3",#N/A,FALSE,"Trend Form"}</definedName>
    <definedName name="wrn.Draft_Self." localSheetId="21" hidden="1">{"Self_Summary",#N/A,FALSE,"Trend Form";"Self_Detail_1",#N/A,FALSE,"Trend Form";"Self_Detail_2",#N/A,FALSE,"Trend Form";"Self_Detail_3",#N/A,FALSE,"Trend Form"}</definedName>
    <definedName name="wrn.Draft_Self." localSheetId="23" hidden="1">{"Self_Summary",#N/A,FALSE,"Trend Form";"Self_Detail_1",#N/A,FALSE,"Trend Form";"Self_Detail_2",#N/A,FALSE,"Trend Form";"Self_Detail_3",#N/A,FALSE,"Trend Form"}</definedName>
    <definedName name="wrn.Draft_Self." localSheetId="25" hidden="1">{"Self_Summary",#N/A,FALSE,"Trend Form";"Self_Detail_1",#N/A,FALSE,"Trend Form";"Self_Detail_2",#N/A,FALSE,"Trend Form";"Self_Detail_3",#N/A,FALSE,"Trend Form"}</definedName>
    <definedName name="wrn.Draft_Self." localSheetId="27" hidden="1">{"Self_Summary",#N/A,FALSE,"Trend Form";"Self_Detail_1",#N/A,FALSE,"Trend Form";"Self_Detail_2",#N/A,FALSE,"Trend Form";"Self_Detail_3",#N/A,FALSE,"Trend Form"}</definedName>
    <definedName name="wrn.Draft_Self." localSheetId="29" hidden="1">{"Self_Summary",#N/A,FALSE,"Trend Form";"Self_Detail_1",#N/A,FALSE,"Trend Form";"Self_Detail_2",#N/A,FALSE,"Trend Form";"Self_Detail_3",#N/A,FALSE,"Trend Form"}</definedName>
    <definedName name="wrn.Draft_Self." localSheetId="31" hidden="1">{"Self_Summary",#N/A,FALSE,"Trend Form";"Self_Detail_1",#N/A,FALSE,"Trend Form";"Self_Detail_2",#N/A,FALSE,"Trend Form";"Self_Detail_3",#N/A,FALSE,"Trend Form"}</definedName>
    <definedName name="wrn.Draft_Self." localSheetId="33" hidden="1">{"Self_Summary",#N/A,FALSE,"Trend Form";"Self_Detail_1",#N/A,FALSE,"Trend Form";"Self_Detail_2",#N/A,FALSE,"Trend Form";"Self_Detail_3",#N/A,FALSE,"Trend Form"}</definedName>
    <definedName name="wrn.Draft_Self." localSheetId="35" hidden="1">{"Self_Summary",#N/A,FALSE,"Trend Form";"Self_Detail_1",#N/A,FALSE,"Trend Form";"Self_Detail_2",#N/A,FALSE,"Trend Form";"Self_Detail_3",#N/A,FALSE,"Trend Form"}</definedName>
    <definedName name="wrn.Draft_Self." localSheetId="37" hidden="1">{"Self_Summary",#N/A,FALSE,"Trend Form";"Self_Detail_1",#N/A,FALSE,"Trend Form";"Self_Detail_2",#N/A,FALSE,"Trend Form";"Self_Detail_3",#N/A,FALSE,"Trend Form"}</definedName>
    <definedName name="wrn.Draft_Self." localSheetId="41" hidden="1">{"Self_Summary",#N/A,FALSE,"Trend Form";"Self_Detail_1",#N/A,FALSE,"Trend Form";"Self_Detail_2",#N/A,FALSE,"Trend Form";"Self_Detail_3",#N/A,FALSE,"Trend Form"}</definedName>
    <definedName name="wrn.Draft_Self." localSheetId="43" hidden="1">{"Self_Summary",#N/A,FALSE,"Trend Form";"Self_Detail_1",#N/A,FALSE,"Trend Form";"Self_Detail_2",#N/A,FALSE,"Trend Form";"Self_Detail_3",#N/A,FALSE,"Trend Form"}</definedName>
    <definedName name="wrn.Draft_Self." localSheetId="45" hidden="1">{"Self_Summary",#N/A,FALSE,"Trend Form";"Self_Detail_1",#N/A,FALSE,"Trend Form";"Self_Detail_2",#N/A,FALSE,"Trend Form";"Self_Detail_3",#N/A,FALSE,"Trend Form"}</definedName>
    <definedName name="wrn.Draft_Self." localSheetId="7" hidden="1">{"Self_Summary",#N/A,FALSE,"Trend Form";"Self_Detail_1",#N/A,FALSE,"Trend Form";"Self_Detail_2",#N/A,FALSE,"Trend Form";"Self_Detail_3",#N/A,FALSE,"Trend Form"}</definedName>
    <definedName name="wrn.Draft_Self." localSheetId="9" hidden="1">{"Self_Summary",#N/A,FALSE,"Trend Form";"Self_Detail_1",#N/A,FALSE,"Trend Form";"Self_Detail_2",#N/A,FALSE,"Trend Form";"Self_Detail_3",#N/A,FALSE,"Trend Form"}</definedName>
    <definedName name="wrn.Draft_Self." localSheetId="11" hidden="1">{"Self_Summary",#N/A,FALSE,"Trend Form";"Self_Detail_1",#N/A,FALSE,"Trend Form";"Self_Detail_2",#N/A,FALSE,"Trend Form";"Self_Detail_3",#N/A,FALSE,"Trend Form"}</definedName>
    <definedName name="wrn.Draft_Self." localSheetId="53" hidden="1">{"Self_Summary",#N/A,FALSE,"Trend Form";"Self_Detail_1",#N/A,FALSE,"Trend Form";"Self_Detail_2",#N/A,FALSE,"Trend Form";"Self_Detail_3",#N/A,FALSE,"Trend Form"}</definedName>
    <definedName name="wrn.Draft_Self." localSheetId="69" hidden="1">{"Self_Summary",#N/A,FALSE,"Trend Form";"Self_Detail_1",#N/A,FALSE,"Trend Form";"Self_Detail_2",#N/A,FALSE,"Trend Form";"Self_Detail_3",#N/A,FALSE,"Trend Form"}</definedName>
    <definedName name="wrn.Draft_Self." localSheetId="75" hidden="1">{"Self_Summary",#N/A,FALSE,"Trend Form";"Self_Detail_1",#N/A,FALSE,"Trend Form";"Self_Detail_2",#N/A,FALSE,"Trend Form";"Self_Detail_3",#N/A,FALSE,"Trend Form"}</definedName>
    <definedName name="wrn.Draft_Self." localSheetId="55" hidden="1">{"Self_Summary",#N/A,FALSE,"Trend Form";"Self_Detail_1",#N/A,FALSE,"Trend Form";"Self_Detail_2",#N/A,FALSE,"Trend Form";"Self_Detail_3",#N/A,FALSE,"Trend Form"}</definedName>
    <definedName name="wrn.Draft_Self." localSheetId="57" hidden="1">{"Self_Summary",#N/A,FALSE,"Trend Form";"Self_Detail_1",#N/A,FALSE,"Trend Form";"Self_Detail_2",#N/A,FALSE,"Trend Form";"Self_Detail_3",#N/A,FALSE,"Trend Form"}</definedName>
    <definedName name="wrn.Draft_Self." localSheetId="59" hidden="1">{"Self_Summary",#N/A,FALSE,"Trend Form";"Self_Detail_1",#N/A,FALSE,"Trend Form";"Self_Detail_2",#N/A,FALSE,"Trend Form";"Self_Detail_3",#N/A,FALSE,"Trend Form"}</definedName>
    <definedName name="wrn.Draft_Self." localSheetId="61" hidden="1">{"Self_Summary",#N/A,FALSE,"Trend Form";"Self_Detail_1",#N/A,FALSE,"Trend Form";"Self_Detail_2",#N/A,FALSE,"Trend Form";"Self_Detail_3",#N/A,FALSE,"Trend Form"}</definedName>
    <definedName name="wrn.Draft_Self." localSheetId="63" hidden="1">{"Self_Summary",#N/A,FALSE,"Trend Form";"Self_Detail_1",#N/A,FALSE,"Trend Form";"Self_Detail_2",#N/A,FALSE,"Trend Form";"Self_Detail_3",#N/A,FALSE,"Trend Form"}</definedName>
    <definedName name="wrn.Draft_Self." localSheetId="65" hidden="1">{"Self_Summary",#N/A,FALSE,"Trend Form";"Self_Detail_1",#N/A,FALSE,"Trend Form";"Self_Detail_2",#N/A,FALSE,"Trend Form";"Self_Detail_3",#N/A,FALSE,"Trend Form"}</definedName>
    <definedName name="wrn.Draft_Self." localSheetId="67" hidden="1">{"Self_Summary",#N/A,FALSE,"Trend Form";"Self_Detail_1",#N/A,FALSE,"Trend Form";"Self_Detail_2",#N/A,FALSE,"Trend Form";"Self_Detail_3",#N/A,FALSE,"Trend Form"}</definedName>
    <definedName name="wrn.Draft_Self." localSheetId="52" hidden="1">{"Self_Summary",#N/A,FALSE,"Trend Form";"Self_Detail_1",#N/A,FALSE,"Trend Form";"Self_Detail_2",#N/A,FALSE,"Trend Form";"Self_Detail_3",#N/A,FALSE,"Trend Form"}</definedName>
    <definedName name="wrn.Draft_Self." localSheetId="68" hidden="1">{"Self_Summary",#N/A,FALSE,"Trend Form";"Self_Detail_1",#N/A,FALSE,"Trend Form";"Self_Detail_2",#N/A,FALSE,"Trend Form";"Self_Detail_3",#N/A,FALSE,"Trend Form"}</definedName>
    <definedName name="wrn.Draft_Self." localSheetId="74" hidden="1">{"Self_Summary",#N/A,FALSE,"Trend Form";"Self_Detail_1",#N/A,FALSE,"Trend Form";"Self_Detail_2",#N/A,FALSE,"Trend Form";"Self_Detail_3",#N/A,FALSE,"Trend Form"}</definedName>
    <definedName name="wrn.Draft_Self." localSheetId="54" hidden="1">{"Self_Summary",#N/A,FALSE,"Trend Form";"Self_Detail_1",#N/A,FALSE,"Trend Form";"Self_Detail_2",#N/A,FALSE,"Trend Form";"Self_Detail_3",#N/A,FALSE,"Trend Form"}</definedName>
    <definedName name="wrn.Draft_Self." localSheetId="56" hidden="1">{"Self_Summary",#N/A,FALSE,"Trend Form";"Self_Detail_1",#N/A,FALSE,"Trend Form";"Self_Detail_2",#N/A,FALSE,"Trend Form";"Self_Detail_3",#N/A,FALSE,"Trend Form"}</definedName>
    <definedName name="wrn.Draft_Self." localSheetId="58" hidden="1">{"Self_Summary",#N/A,FALSE,"Trend Form";"Self_Detail_1",#N/A,FALSE,"Trend Form";"Self_Detail_2",#N/A,FALSE,"Trend Form";"Self_Detail_3",#N/A,FALSE,"Trend Form"}</definedName>
    <definedName name="wrn.Draft_Self." localSheetId="60" hidden="1">{"Self_Summary",#N/A,FALSE,"Trend Form";"Self_Detail_1",#N/A,FALSE,"Trend Form";"Self_Detail_2",#N/A,FALSE,"Trend Form";"Self_Detail_3",#N/A,FALSE,"Trend Form"}</definedName>
    <definedName name="wrn.Draft_Self." localSheetId="62" hidden="1">{"Self_Summary",#N/A,FALSE,"Trend Form";"Self_Detail_1",#N/A,FALSE,"Trend Form";"Self_Detail_2",#N/A,FALSE,"Trend Form";"Self_Detail_3",#N/A,FALSE,"Trend Form"}</definedName>
    <definedName name="wrn.Draft_Self." localSheetId="64" hidden="1">{"Self_Summary",#N/A,FALSE,"Trend Form";"Self_Detail_1",#N/A,FALSE,"Trend Form";"Self_Detail_2",#N/A,FALSE,"Trend Form";"Self_Detail_3",#N/A,FALSE,"Trend Form"}</definedName>
    <definedName name="wrn.Draft_Self." localSheetId="66" hidden="1">{"Self_Summary",#N/A,FALSE,"Trend Form";"Self_Detail_1",#N/A,FALSE,"Trend Form";"Self_Detail_2",#N/A,FALSE,"Trend Form";"Self_Detail_3",#N/A,FALSE,"Trend Form"}</definedName>
    <definedName name="wrn.Draft_Self." localSheetId="78" hidden="1">{"Self_Summary",#N/A,FALSE,"Trend Form";"Self_Detail_1",#N/A,FALSE,"Trend Form";"Self_Detail_2",#N/A,FALSE,"Trend Form";"Self_Detail_3",#N/A,FALSE,"Trend Form"}</definedName>
    <definedName name="wrn.Draft_Self." localSheetId="80" hidden="1">{"Self_Summary",#N/A,FALSE,"Trend Form";"Self_Detail_1",#N/A,FALSE,"Trend Form";"Self_Detail_2",#N/A,FALSE,"Trend Form";"Self_Detail_3",#N/A,FALSE,"Trend Form"}</definedName>
    <definedName name="wrn.Draft_Self." localSheetId="82" hidden="1">{"Self_Summary",#N/A,FALSE,"Trend Form";"Self_Detail_1",#N/A,FALSE,"Trend Form";"Self_Detail_2",#N/A,FALSE,"Trend Form";"Self_Detail_3",#N/A,FALSE,"Trend Form"}</definedName>
    <definedName name="wrn.Draft_Self." localSheetId="85" hidden="1">{"Self_Summary",#N/A,FALSE,"Trend Form";"Self_Detail_1",#N/A,FALSE,"Trend Form";"Self_Detail_2",#N/A,FALSE,"Trend Form";"Self_Detail_3",#N/A,FALSE,"Trend Form"}</definedName>
    <definedName name="wrn.Draft_Self." localSheetId="87" hidden="1">{"Self_Summary",#N/A,FALSE,"Trend Form";"Self_Detail_1",#N/A,FALSE,"Trend Form";"Self_Detail_2",#N/A,FALSE,"Trend Form";"Self_Detail_3",#N/A,FALSE,"Trend Form"}</definedName>
    <definedName name="wrn.Draft_Self." localSheetId="77" hidden="1">{"Self_Summary",#N/A,FALSE,"Trend Form";"Self_Detail_1",#N/A,FALSE,"Trend Form";"Self_Detail_2",#N/A,FALSE,"Trend Form";"Self_Detail_3",#N/A,FALSE,"Trend Form"}</definedName>
    <definedName name="wrn.Draft_Self." localSheetId="79" hidden="1">{"Self_Summary",#N/A,FALSE,"Trend Form";"Self_Detail_1",#N/A,FALSE,"Trend Form";"Self_Detail_2",#N/A,FALSE,"Trend Form";"Self_Detail_3",#N/A,FALSE,"Trend Form"}</definedName>
    <definedName name="wrn.Draft_Self." localSheetId="81" hidden="1">{"Self_Summary",#N/A,FALSE,"Trend Form";"Self_Detail_1",#N/A,FALSE,"Trend Form";"Self_Detail_2",#N/A,FALSE,"Trend Form";"Self_Detail_3",#N/A,FALSE,"Trend Form"}</definedName>
    <definedName name="wrn.Draft_Self." localSheetId="83" hidden="1">{"Self_Summary",#N/A,FALSE,"Trend Form";"Self_Detail_1",#N/A,FALSE,"Trend Form";"Self_Detail_2",#N/A,FALSE,"Trend Form";"Self_Detail_3",#N/A,FALSE,"Trend Form"}</definedName>
    <definedName name="wrn.Draft_Self." localSheetId="84" hidden="1">{"Self_Summary",#N/A,FALSE,"Trend Form";"Self_Detail_1",#N/A,FALSE,"Trend Form";"Self_Detail_2",#N/A,FALSE,"Trend Form";"Self_Detail_3",#N/A,FALSE,"Trend Form"}</definedName>
    <definedName name="wrn.Draft_Self." localSheetId="86" hidden="1">{"Self_Summary",#N/A,FALSE,"Trend Form";"Self_Detail_1",#N/A,FALSE,"Trend Form";"Self_Detail_2",#N/A,FALSE,"Trend Form";"Self_Detail_3",#N/A,FALSE,"Trend Form"}</definedName>
    <definedName name="wrn.Draft_Self." hidden="1">{"Self_Summary",#N/A,FALSE,"Trend Form";"Self_Detail_1",#N/A,FALSE,"Trend Form";"Self_Detail_2",#N/A,FALSE,"Trend Form";"Self_Detail_3",#N/A,FALSE,"Trend Form"}</definedName>
    <definedName name="wrn.Print._.Me." localSheetId="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0"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0"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0"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2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3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4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1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5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0"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6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8"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0"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2"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5"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7"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79"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1"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3"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4"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localSheetId="86"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Print._.Me." hidden="1">{#N/A,#N/A,FALSE,"Cover Sheet";#N/A,#N/A,FALSE,"Initial NCC";#N/A,#N/A,FALSE,"Claim Assumptions";#N/A,#N/A,FALSE,"Premium Assumptions";#N/A,#N/A,FALSE,"Membership and Expense Budget";#N/A,#N/A,FALSE,"Monthly Statutory Projection";#N/A,#N/A,FALSE,"Quarterly Statutory Projection";#N/A,#N/A,FALSE,"Tax Worksheet";#N/A,#N/A,FALSE,"Cash Flow Projection";#N/A,#N/A,FALSE,"Balance Sheet Projections"}</definedName>
    <definedName name="wrn.rates." localSheetId="3" hidden="1">{"rates",#N/A,FALSE,"Summary"}</definedName>
    <definedName name="wrn.rates." localSheetId="2" hidden="1">{"rates",#N/A,FALSE,"Summary"}</definedName>
    <definedName name="wrn.rates." localSheetId="6" hidden="1">{"rates",#N/A,FALSE,"Summary"}</definedName>
    <definedName name="wrn.rates." localSheetId="14" hidden="1">{"rates",#N/A,FALSE,"Summary"}</definedName>
    <definedName name="wrn.rates." localSheetId="16" hidden="1">{"rates",#N/A,FALSE,"Summary"}</definedName>
    <definedName name="wrn.rates." localSheetId="18" hidden="1">{"rates",#N/A,FALSE,"Summary"}</definedName>
    <definedName name="wrn.rates." localSheetId="20" hidden="1">{"rates",#N/A,FALSE,"Summary"}</definedName>
    <definedName name="wrn.rates." localSheetId="22" hidden="1">{"rates",#N/A,FALSE,"Summary"}</definedName>
    <definedName name="wrn.rates." localSheetId="24" hidden="1">{"rates",#N/A,FALSE,"Summary"}</definedName>
    <definedName name="wrn.rates." localSheetId="26" hidden="1">{"rates",#N/A,FALSE,"Summary"}</definedName>
    <definedName name="wrn.rates." localSheetId="28" hidden="1">{"rates",#N/A,FALSE,"Summary"}</definedName>
    <definedName name="wrn.rates." localSheetId="30" hidden="1">{"rates",#N/A,FALSE,"Summary"}</definedName>
    <definedName name="wrn.rates." localSheetId="32" hidden="1">{"rates",#N/A,FALSE,"Summary"}</definedName>
    <definedName name="wrn.rates." localSheetId="34" hidden="1">{"rates",#N/A,FALSE,"Summary"}</definedName>
    <definedName name="wrn.rates." localSheetId="36" hidden="1">{"rates",#N/A,FALSE,"Summary"}</definedName>
    <definedName name="wrn.rates." localSheetId="38" hidden="1">{"rates",#N/A,FALSE,"Summary"}</definedName>
    <definedName name="wrn.rates." localSheetId="42" hidden="1">{"rates",#N/A,FALSE,"Summary"}</definedName>
    <definedName name="wrn.rates." localSheetId="44" hidden="1">{"rates",#N/A,FALSE,"Summary"}</definedName>
    <definedName name="wrn.rates." localSheetId="46" hidden="1">{"rates",#N/A,FALSE,"Summary"}</definedName>
    <definedName name="wrn.rates." localSheetId="8" hidden="1">{"rates",#N/A,FALSE,"Summary"}</definedName>
    <definedName name="wrn.rates." localSheetId="10" hidden="1">{"rates",#N/A,FALSE,"Summary"}</definedName>
    <definedName name="wrn.rates." localSheetId="12" hidden="1">{"rates",#N/A,FALSE,"Summary"}</definedName>
    <definedName name="wrn.rates." localSheetId="5" hidden="1">{"rates",#N/A,FALSE,"Summary"}</definedName>
    <definedName name="wrn.rates." localSheetId="13" hidden="1">{"rates",#N/A,FALSE,"Summary"}</definedName>
    <definedName name="wrn.rates." localSheetId="15" hidden="1">{"rates",#N/A,FALSE,"Summary"}</definedName>
    <definedName name="wrn.rates." localSheetId="17" hidden="1">{"rates",#N/A,FALSE,"Summary"}</definedName>
    <definedName name="wrn.rates." localSheetId="19" hidden="1">{"rates",#N/A,FALSE,"Summary"}</definedName>
    <definedName name="wrn.rates." localSheetId="21" hidden="1">{"rates",#N/A,FALSE,"Summary"}</definedName>
    <definedName name="wrn.rates." localSheetId="23" hidden="1">{"rates",#N/A,FALSE,"Summary"}</definedName>
    <definedName name="wrn.rates." localSheetId="25" hidden="1">{"rates",#N/A,FALSE,"Summary"}</definedName>
    <definedName name="wrn.rates." localSheetId="27" hidden="1">{"rates",#N/A,FALSE,"Summary"}</definedName>
    <definedName name="wrn.rates." localSheetId="29" hidden="1">{"rates",#N/A,FALSE,"Summary"}</definedName>
    <definedName name="wrn.rates." localSheetId="31" hidden="1">{"rates",#N/A,FALSE,"Summary"}</definedName>
    <definedName name="wrn.rates." localSheetId="33" hidden="1">{"rates",#N/A,FALSE,"Summary"}</definedName>
    <definedName name="wrn.rates." localSheetId="35" hidden="1">{"rates",#N/A,FALSE,"Summary"}</definedName>
    <definedName name="wrn.rates." localSheetId="37" hidden="1">{"rates",#N/A,FALSE,"Summary"}</definedName>
    <definedName name="wrn.rates." localSheetId="41" hidden="1">{"rates",#N/A,FALSE,"Summary"}</definedName>
    <definedName name="wrn.rates." localSheetId="43" hidden="1">{"rates",#N/A,FALSE,"Summary"}</definedName>
    <definedName name="wrn.rates." localSheetId="45" hidden="1">{"rates",#N/A,FALSE,"Summary"}</definedName>
    <definedName name="wrn.rates." localSheetId="7" hidden="1">{"rates",#N/A,FALSE,"Summary"}</definedName>
    <definedName name="wrn.rates." localSheetId="9" hidden="1">{"rates",#N/A,FALSE,"Summary"}</definedName>
    <definedName name="wrn.rates." localSheetId="11" hidden="1">{"rates",#N/A,FALSE,"Summary"}</definedName>
    <definedName name="wrn.rates." localSheetId="53" hidden="1">{"rates",#N/A,FALSE,"Summary"}</definedName>
    <definedName name="wrn.rates." localSheetId="69" hidden="1">{"rates",#N/A,FALSE,"Summary"}</definedName>
    <definedName name="wrn.rates." localSheetId="75" hidden="1">{"rates",#N/A,FALSE,"Summary"}</definedName>
    <definedName name="wrn.rates." localSheetId="55" hidden="1">{"rates",#N/A,FALSE,"Summary"}</definedName>
    <definedName name="wrn.rates." localSheetId="57" hidden="1">{"rates",#N/A,FALSE,"Summary"}</definedName>
    <definedName name="wrn.rates." localSheetId="59" hidden="1">{"rates",#N/A,FALSE,"Summary"}</definedName>
    <definedName name="wrn.rates." localSheetId="61" hidden="1">{"rates",#N/A,FALSE,"Summary"}</definedName>
    <definedName name="wrn.rates." localSheetId="63" hidden="1">{"rates",#N/A,FALSE,"Summary"}</definedName>
    <definedName name="wrn.rates." localSheetId="65" hidden="1">{"rates",#N/A,FALSE,"Summary"}</definedName>
    <definedName name="wrn.rates." localSheetId="67" hidden="1">{"rates",#N/A,FALSE,"Summary"}</definedName>
    <definedName name="wrn.rates." localSheetId="52" hidden="1">{"rates",#N/A,FALSE,"Summary"}</definedName>
    <definedName name="wrn.rates." localSheetId="68" hidden="1">{"rates",#N/A,FALSE,"Summary"}</definedName>
    <definedName name="wrn.rates." localSheetId="74" hidden="1">{"rates",#N/A,FALSE,"Summary"}</definedName>
    <definedName name="wrn.rates." localSheetId="54" hidden="1">{"rates",#N/A,FALSE,"Summary"}</definedName>
    <definedName name="wrn.rates." localSheetId="56" hidden="1">{"rates",#N/A,FALSE,"Summary"}</definedName>
    <definedName name="wrn.rates." localSheetId="58" hidden="1">{"rates",#N/A,FALSE,"Summary"}</definedName>
    <definedName name="wrn.rates." localSheetId="60" hidden="1">{"rates",#N/A,FALSE,"Summary"}</definedName>
    <definedName name="wrn.rates." localSheetId="62" hidden="1">{"rates",#N/A,FALSE,"Summary"}</definedName>
    <definedName name="wrn.rates." localSheetId="64" hidden="1">{"rates",#N/A,FALSE,"Summary"}</definedName>
    <definedName name="wrn.rates." localSheetId="66" hidden="1">{"rates",#N/A,FALSE,"Summary"}</definedName>
    <definedName name="wrn.rates." localSheetId="78" hidden="1">{"rates",#N/A,FALSE,"Summary"}</definedName>
    <definedName name="wrn.rates." localSheetId="80" hidden="1">{"rates",#N/A,FALSE,"Summary"}</definedName>
    <definedName name="wrn.rates." localSheetId="82" hidden="1">{"rates",#N/A,FALSE,"Summary"}</definedName>
    <definedName name="wrn.rates." localSheetId="85" hidden="1">{"rates",#N/A,FALSE,"Summary"}</definedName>
    <definedName name="wrn.rates." localSheetId="87" hidden="1">{"rates",#N/A,FALSE,"Summary"}</definedName>
    <definedName name="wrn.rates." localSheetId="77" hidden="1">{"rates",#N/A,FALSE,"Summary"}</definedName>
    <definedName name="wrn.rates." localSheetId="79" hidden="1">{"rates",#N/A,FALSE,"Summary"}</definedName>
    <definedName name="wrn.rates." localSheetId="81" hidden="1">{"rates",#N/A,FALSE,"Summary"}</definedName>
    <definedName name="wrn.rates." localSheetId="83" hidden="1">{"rates",#N/A,FALSE,"Summary"}</definedName>
    <definedName name="wrn.rates." localSheetId="84" hidden="1">{"rates",#N/A,FALSE,"Summary"}</definedName>
    <definedName name="wrn.rates." localSheetId="86" hidden="1">{"rates",#N/A,FALSE,"Summary"}</definedName>
    <definedName name="wrn.rates." hidden="1">{"rates",#N/A,FALSE,"Summary"}</definedName>
    <definedName name="wrn.Section._.2._.Non._.Medical." localSheetId="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0"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0"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0"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2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3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4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1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5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0"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6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8"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0"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2"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5"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7"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79"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3"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4"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localSheetId="86"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ummary." localSheetId="3" hidden="1">{#N/A,#N/A,FALSE,"Sheet1";#N/A,#N/A,FALSE,"Page1";#N/A,#N/A,FALSE,"Page2"}</definedName>
    <definedName name="wrn.Summary." localSheetId="2" hidden="1">{#N/A,#N/A,FALSE,"Sheet1";#N/A,#N/A,FALSE,"Page1";#N/A,#N/A,FALSE,"Page2"}</definedName>
    <definedName name="wrn.Summary." localSheetId="6" hidden="1">{#N/A,#N/A,FALSE,"Sheet1";#N/A,#N/A,FALSE,"Page1";#N/A,#N/A,FALSE,"Page2"}</definedName>
    <definedName name="wrn.Summary." localSheetId="14" hidden="1">{#N/A,#N/A,FALSE,"Sheet1";#N/A,#N/A,FALSE,"Page1";#N/A,#N/A,FALSE,"Page2"}</definedName>
    <definedName name="wrn.Summary." localSheetId="16" hidden="1">{#N/A,#N/A,FALSE,"Sheet1";#N/A,#N/A,FALSE,"Page1";#N/A,#N/A,FALSE,"Page2"}</definedName>
    <definedName name="wrn.Summary." localSheetId="18" hidden="1">{#N/A,#N/A,FALSE,"Sheet1";#N/A,#N/A,FALSE,"Page1";#N/A,#N/A,FALSE,"Page2"}</definedName>
    <definedName name="wrn.Summary." localSheetId="20" hidden="1">{#N/A,#N/A,FALSE,"Sheet1";#N/A,#N/A,FALSE,"Page1";#N/A,#N/A,FALSE,"Page2"}</definedName>
    <definedName name="wrn.Summary." localSheetId="22" hidden="1">{#N/A,#N/A,FALSE,"Sheet1";#N/A,#N/A,FALSE,"Page1";#N/A,#N/A,FALSE,"Page2"}</definedName>
    <definedName name="wrn.Summary." localSheetId="24" hidden="1">{#N/A,#N/A,FALSE,"Sheet1";#N/A,#N/A,FALSE,"Page1";#N/A,#N/A,FALSE,"Page2"}</definedName>
    <definedName name="wrn.Summary." localSheetId="26" hidden="1">{#N/A,#N/A,FALSE,"Sheet1";#N/A,#N/A,FALSE,"Page1";#N/A,#N/A,FALSE,"Page2"}</definedName>
    <definedName name="wrn.Summary." localSheetId="28" hidden="1">{#N/A,#N/A,FALSE,"Sheet1";#N/A,#N/A,FALSE,"Page1";#N/A,#N/A,FALSE,"Page2"}</definedName>
    <definedName name="wrn.Summary." localSheetId="30" hidden="1">{#N/A,#N/A,FALSE,"Sheet1";#N/A,#N/A,FALSE,"Page1";#N/A,#N/A,FALSE,"Page2"}</definedName>
    <definedName name="wrn.Summary." localSheetId="32" hidden="1">{#N/A,#N/A,FALSE,"Sheet1";#N/A,#N/A,FALSE,"Page1";#N/A,#N/A,FALSE,"Page2"}</definedName>
    <definedName name="wrn.Summary." localSheetId="34" hidden="1">{#N/A,#N/A,FALSE,"Sheet1";#N/A,#N/A,FALSE,"Page1";#N/A,#N/A,FALSE,"Page2"}</definedName>
    <definedName name="wrn.Summary." localSheetId="36" hidden="1">{#N/A,#N/A,FALSE,"Sheet1";#N/A,#N/A,FALSE,"Page1";#N/A,#N/A,FALSE,"Page2"}</definedName>
    <definedName name="wrn.Summary." localSheetId="38" hidden="1">{#N/A,#N/A,FALSE,"Sheet1";#N/A,#N/A,FALSE,"Page1";#N/A,#N/A,FALSE,"Page2"}</definedName>
    <definedName name="wrn.Summary." localSheetId="42" hidden="1">{#N/A,#N/A,FALSE,"Sheet1";#N/A,#N/A,FALSE,"Page1";#N/A,#N/A,FALSE,"Page2"}</definedName>
    <definedName name="wrn.Summary." localSheetId="44" hidden="1">{#N/A,#N/A,FALSE,"Sheet1";#N/A,#N/A,FALSE,"Page1";#N/A,#N/A,FALSE,"Page2"}</definedName>
    <definedName name="wrn.Summary." localSheetId="46" hidden="1">{#N/A,#N/A,FALSE,"Sheet1";#N/A,#N/A,FALSE,"Page1";#N/A,#N/A,FALSE,"Page2"}</definedName>
    <definedName name="wrn.Summary." localSheetId="8" hidden="1">{#N/A,#N/A,FALSE,"Sheet1";#N/A,#N/A,FALSE,"Page1";#N/A,#N/A,FALSE,"Page2"}</definedName>
    <definedName name="wrn.Summary." localSheetId="10" hidden="1">{#N/A,#N/A,FALSE,"Sheet1";#N/A,#N/A,FALSE,"Page1";#N/A,#N/A,FALSE,"Page2"}</definedName>
    <definedName name="wrn.Summary." localSheetId="12" hidden="1">{#N/A,#N/A,FALSE,"Sheet1";#N/A,#N/A,FALSE,"Page1";#N/A,#N/A,FALSE,"Page2"}</definedName>
    <definedName name="wrn.Summary." localSheetId="5" hidden="1">{#N/A,#N/A,FALSE,"Sheet1";#N/A,#N/A,FALSE,"Page1";#N/A,#N/A,FALSE,"Page2"}</definedName>
    <definedName name="wrn.Summary." localSheetId="13" hidden="1">{#N/A,#N/A,FALSE,"Sheet1";#N/A,#N/A,FALSE,"Page1";#N/A,#N/A,FALSE,"Page2"}</definedName>
    <definedName name="wrn.Summary." localSheetId="15" hidden="1">{#N/A,#N/A,FALSE,"Sheet1";#N/A,#N/A,FALSE,"Page1";#N/A,#N/A,FALSE,"Page2"}</definedName>
    <definedName name="wrn.Summary." localSheetId="17" hidden="1">{#N/A,#N/A,FALSE,"Sheet1";#N/A,#N/A,FALSE,"Page1";#N/A,#N/A,FALSE,"Page2"}</definedName>
    <definedName name="wrn.Summary." localSheetId="19" hidden="1">{#N/A,#N/A,FALSE,"Sheet1";#N/A,#N/A,FALSE,"Page1";#N/A,#N/A,FALSE,"Page2"}</definedName>
    <definedName name="wrn.Summary." localSheetId="21" hidden="1">{#N/A,#N/A,FALSE,"Sheet1";#N/A,#N/A,FALSE,"Page1";#N/A,#N/A,FALSE,"Page2"}</definedName>
    <definedName name="wrn.Summary." localSheetId="23" hidden="1">{#N/A,#N/A,FALSE,"Sheet1";#N/A,#N/A,FALSE,"Page1";#N/A,#N/A,FALSE,"Page2"}</definedName>
    <definedName name="wrn.Summary." localSheetId="25" hidden="1">{#N/A,#N/A,FALSE,"Sheet1";#N/A,#N/A,FALSE,"Page1";#N/A,#N/A,FALSE,"Page2"}</definedName>
    <definedName name="wrn.Summary." localSheetId="27" hidden="1">{#N/A,#N/A,FALSE,"Sheet1";#N/A,#N/A,FALSE,"Page1";#N/A,#N/A,FALSE,"Page2"}</definedName>
    <definedName name="wrn.Summary." localSheetId="29" hidden="1">{#N/A,#N/A,FALSE,"Sheet1";#N/A,#N/A,FALSE,"Page1";#N/A,#N/A,FALSE,"Page2"}</definedName>
    <definedName name="wrn.Summary." localSheetId="31" hidden="1">{#N/A,#N/A,FALSE,"Sheet1";#N/A,#N/A,FALSE,"Page1";#N/A,#N/A,FALSE,"Page2"}</definedName>
    <definedName name="wrn.Summary." localSheetId="33" hidden="1">{#N/A,#N/A,FALSE,"Sheet1";#N/A,#N/A,FALSE,"Page1";#N/A,#N/A,FALSE,"Page2"}</definedName>
    <definedName name="wrn.Summary." localSheetId="35" hidden="1">{#N/A,#N/A,FALSE,"Sheet1";#N/A,#N/A,FALSE,"Page1";#N/A,#N/A,FALSE,"Page2"}</definedName>
    <definedName name="wrn.Summary." localSheetId="37" hidden="1">{#N/A,#N/A,FALSE,"Sheet1";#N/A,#N/A,FALSE,"Page1";#N/A,#N/A,FALSE,"Page2"}</definedName>
    <definedName name="wrn.Summary." localSheetId="41" hidden="1">{#N/A,#N/A,FALSE,"Sheet1";#N/A,#N/A,FALSE,"Page1";#N/A,#N/A,FALSE,"Page2"}</definedName>
    <definedName name="wrn.Summary." localSheetId="43" hidden="1">{#N/A,#N/A,FALSE,"Sheet1";#N/A,#N/A,FALSE,"Page1";#N/A,#N/A,FALSE,"Page2"}</definedName>
    <definedName name="wrn.Summary." localSheetId="45" hidden="1">{#N/A,#N/A,FALSE,"Sheet1";#N/A,#N/A,FALSE,"Page1";#N/A,#N/A,FALSE,"Page2"}</definedName>
    <definedName name="wrn.Summary." localSheetId="7" hidden="1">{#N/A,#N/A,FALSE,"Sheet1";#N/A,#N/A,FALSE,"Page1";#N/A,#N/A,FALSE,"Page2"}</definedName>
    <definedName name="wrn.Summary." localSheetId="9" hidden="1">{#N/A,#N/A,FALSE,"Sheet1";#N/A,#N/A,FALSE,"Page1";#N/A,#N/A,FALSE,"Page2"}</definedName>
    <definedName name="wrn.Summary." localSheetId="11" hidden="1">{#N/A,#N/A,FALSE,"Sheet1";#N/A,#N/A,FALSE,"Page1";#N/A,#N/A,FALSE,"Page2"}</definedName>
    <definedName name="wrn.Summary." localSheetId="53" hidden="1">{#N/A,#N/A,FALSE,"Sheet1";#N/A,#N/A,FALSE,"Page1";#N/A,#N/A,FALSE,"Page2"}</definedName>
    <definedName name="wrn.Summary." localSheetId="69" hidden="1">{#N/A,#N/A,FALSE,"Sheet1";#N/A,#N/A,FALSE,"Page1";#N/A,#N/A,FALSE,"Page2"}</definedName>
    <definedName name="wrn.Summary." localSheetId="75" hidden="1">{#N/A,#N/A,FALSE,"Sheet1";#N/A,#N/A,FALSE,"Page1";#N/A,#N/A,FALSE,"Page2"}</definedName>
    <definedName name="wrn.Summary." localSheetId="55" hidden="1">{#N/A,#N/A,FALSE,"Sheet1";#N/A,#N/A,FALSE,"Page1";#N/A,#N/A,FALSE,"Page2"}</definedName>
    <definedName name="wrn.Summary." localSheetId="57" hidden="1">{#N/A,#N/A,FALSE,"Sheet1";#N/A,#N/A,FALSE,"Page1";#N/A,#N/A,FALSE,"Page2"}</definedName>
    <definedName name="wrn.Summary." localSheetId="59" hidden="1">{#N/A,#N/A,FALSE,"Sheet1";#N/A,#N/A,FALSE,"Page1";#N/A,#N/A,FALSE,"Page2"}</definedName>
    <definedName name="wrn.Summary." localSheetId="61" hidden="1">{#N/A,#N/A,FALSE,"Sheet1";#N/A,#N/A,FALSE,"Page1";#N/A,#N/A,FALSE,"Page2"}</definedName>
    <definedName name="wrn.Summary." localSheetId="63" hidden="1">{#N/A,#N/A,FALSE,"Sheet1";#N/A,#N/A,FALSE,"Page1";#N/A,#N/A,FALSE,"Page2"}</definedName>
    <definedName name="wrn.Summary." localSheetId="65" hidden="1">{#N/A,#N/A,FALSE,"Sheet1";#N/A,#N/A,FALSE,"Page1";#N/A,#N/A,FALSE,"Page2"}</definedName>
    <definedName name="wrn.Summary." localSheetId="67" hidden="1">{#N/A,#N/A,FALSE,"Sheet1";#N/A,#N/A,FALSE,"Page1";#N/A,#N/A,FALSE,"Page2"}</definedName>
    <definedName name="wrn.Summary." localSheetId="52" hidden="1">{#N/A,#N/A,FALSE,"Sheet1";#N/A,#N/A,FALSE,"Page1";#N/A,#N/A,FALSE,"Page2"}</definedName>
    <definedName name="wrn.Summary." localSheetId="68" hidden="1">{#N/A,#N/A,FALSE,"Sheet1";#N/A,#N/A,FALSE,"Page1";#N/A,#N/A,FALSE,"Page2"}</definedName>
    <definedName name="wrn.Summary." localSheetId="74" hidden="1">{#N/A,#N/A,FALSE,"Sheet1";#N/A,#N/A,FALSE,"Page1";#N/A,#N/A,FALSE,"Page2"}</definedName>
    <definedName name="wrn.Summary." localSheetId="54" hidden="1">{#N/A,#N/A,FALSE,"Sheet1";#N/A,#N/A,FALSE,"Page1";#N/A,#N/A,FALSE,"Page2"}</definedName>
    <definedName name="wrn.Summary." localSheetId="56" hidden="1">{#N/A,#N/A,FALSE,"Sheet1";#N/A,#N/A,FALSE,"Page1";#N/A,#N/A,FALSE,"Page2"}</definedName>
    <definedName name="wrn.Summary." localSheetId="58" hidden="1">{#N/A,#N/A,FALSE,"Sheet1";#N/A,#N/A,FALSE,"Page1";#N/A,#N/A,FALSE,"Page2"}</definedName>
    <definedName name="wrn.Summary." localSheetId="60" hidden="1">{#N/A,#N/A,FALSE,"Sheet1";#N/A,#N/A,FALSE,"Page1";#N/A,#N/A,FALSE,"Page2"}</definedName>
    <definedName name="wrn.Summary." localSheetId="62" hidden="1">{#N/A,#N/A,FALSE,"Sheet1";#N/A,#N/A,FALSE,"Page1";#N/A,#N/A,FALSE,"Page2"}</definedName>
    <definedName name="wrn.Summary." localSheetId="64" hidden="1">{#N/A,#N/A,FALSE,"Sheet1";#N/A,#N/A,FALSE,"Page1";#N/A,#N/A,FALSE,"Page2"}</definedName>
    <definedName name="wrn.Summary." localSheetId="66" hidden="1">{#N/A,#N/A,FALSE,"Sheet1";#N/A,#N/A,FALSE,"Page1";#N/A,#N/A,FALSE,"Page2"}</definedName>
    <definedName name="wrn.Summary." localSheetId="78" hidden="1">{#N/A,#N/A,FALSE,"Sheet1";#N/A,#N/A,FALSE,"Page1";#N/A,#N/A,FALSE,"Page2"}</definedName>
    <definedName name="wrn.Summary." localSheetId="80" hidden="1">{#N/A,#N/A,FALSE,"Sheet1";#N/A,#N/A,FALSE,"Page1";#N/A,#N/A,FALSE,"Page2"}</definedName>
    <definedName name="wrn.Summary." localSheetId="82" hidden="1">{#N/A,#N/A,FALSE,"Sheet1";#N/A,#N/A,FALSE,"Page1";#N/A,#N/A,FALSE,"Page2"}</definedName>
    <definedName name="wrn.Summary." localSheetId="85" hidden="1">{#N/A,#N/A,FALSE,"Sheet1";#N/A,#N/A,FALSE,"Page1";#N/A,#N/A,FALSE,"Page2"}</definedName>
    <definedName name="wrn.Summary." localSheetId="87" hidden="1">{#N/A,#N/A,FALSE,"Sheet1";#N/A,#N/A,FALSE,"Page1";#N/A,#N/A,FALSE,"Page2"}</definedName>
    <definedName name="wrn.Summary." localSheetId="77" hidden="1">{#N/A,#N/A,FALSE,"Sheet1";#N/A,#N/A,FALSE,"Page1";#N/A,#N/A,FALSE,"Page2"}</definedName>
    <definedName name="wrn.Summary." localSheetId="79" hidden="1">{#N/A,#N/A,FALSE,"Sheet1";#N/A,#N/A,FALSE,"Page1";#N/A,#N/A,FALSE,"Page2"}</definedName>
    <definedName name="wrn.Summary." localSheetId="81" hidden="1">{#N/A,#N/A,FALSE,"Sheet1";#N/A,#N/A,FALSE,"Page1";#N/A,#N/A,FALSE,"Page2"}</definedName>
    <definedName name="wrn.Summary." localSheetId="83" hidden="1">{#N/A,#N/A,FALSE,"Sheet1";#N/A,#N/A,FALSE,"Page1";#N/A,#N/A,FALSE,"Page2"}</definedName>
    <definedName name="wrn.Summary." localSheetId="84" hidden="1">{#N/A,#N/A,FALSE,"Sheet1";#N/A,#N/A,FALSE,"Page1";#N/A,#N/A,FALSE,"Page2"}</definedName>
    <definedName name="wrn.Summary." localSheetId="86" hidden="1">{#N/A,#N/A,FALSE,"Sheet1";#N/A,#N/A,FALSE,"Page1";#N/A,#N/A,FALSE,"Page2"}</definedName>
    <definedName name="wrn.Summary." hidden="1">{#N/A,#N/A,FALSE,"Sheet1";#N/A,#N/A,FALSE,"Page1";#N/A,#N/A,FALSE,"Page2"}</definedName>
    <definedName name="ws">#REF!</definedName>
    <definedName name="x" localSheetId="84">#REF!</definedName>
    <definedName name="x">#REF!</definedName>
    <definedName name="xx" localSheetId="84">#REF!</definedName>
    <definedName name="xx">#REF!</definedName>
    <definedName name="xxxxx" localSheetId="84">#REF!</definedName>
    <definedName name="xxxxx">#REF!</definedName>
    <definedName name="y">#REF!</definedName>
    <definedName name="YEAR_MO_BEGIN" localSheetId="84">#REF!</definedName>
    <definedName name="YEAR_MO_BEGIN">#REF!</definedName>
    <definedName name="YEAR_MO_END" localSheetId="84">#REF!</definedName>
    <definedName name="YEAR_MO_END">#REF!</definedName>
    <definedName name="Year2014" localSheetId="84">#REF!</definedName>
    <definedName name="Year2014">#REF!</definedName>
    <definedName name="YearMo">#REF!</definedName>
    <definedName name="YesNo" localSheetId="84">#REF!</definedName>
    <definedName name="YesNo">#REF!</definedName>
    <definedName name="YrMo">#REF!</definedName>
    <definedName name="yu" localSheetId="84">#REF!</definedName>
    <definedName name="yu">#REF!</definedName>
    <definedName name="zip" localSheetId="84">#REF!</definedName>
    <definedName name="zip">#REF!</definedName>
    <definedName name="zipCodeEnter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9" i="87" l="1"/>
  <c r="E269" i="87"/>
  <c r="F269" i="87"/>
  <c r="G269" i="87"/>
  <c r="D270" i="87"/>
  <c r="D271" i="87" s="1"/>
  <c r="K275" i="87" s="1"/>
  <c r="E270" i="87"/>
  <c r="E271" i="87" s="1"/>
  <c r="K276" i="87" s="1"/>
  <c r="L276" i="87" s="1"/>
  <c r="O276" i="87" s="1"/>
  <c r="Q276" i="87" s="1"/>
  <c r="F270" i="87"/>
  <c r="F271" i="87" s="1"/>
  <c r="K277" i="87" s="1"/>
  <c r="L277" i="87" s="1"/>
  <c r="G270" i="87"/>
  <c r="G271" i="87" s="1"/>
  <c r="K278" i="87" s="1"/>
  <c r="L278" i="87" s="1"/>
  <c r="O278" i="87" s="1"/>
  <c r="Q278" i="87" s="1"/>
  <c r="E273" i="87"/>
  <c r="E275" i="87"/>
  <c r="F275" i="87"/>
  <c r="G275" i="87"/>
  <c r="J275" i="87" s="1"/>
  <c r="H275" i="87"/>
  <c r="N275" i="87"/>
  <c r="E276" i="87"/>
  <c r="F276" i="87"/>
  <c r="G276" i="87"/>
  <c r="H276" i="87"/>
  <c r="J276" i="87"/>
  <c r="N276" i="87"/>
  <c r="E277" i="87"/>
  <c r="F277" i="87"/>
  <c r="G277" i="87"/>
  <c r="H277" i="87"/>
  <c r="J277" i="87"/>
  <c r="N277" i="87"/>
  <c r="E278" i="87"/>
  <c r="F278" i="87"/>
  <c r="J278" i="87" s="1"/>
  <c r="G278" i="87"/>
  <c r="H278" i="87"/>
  <c r="N278" i="87"/>
  <c r="F282" i="87"/>
  <c r="F283" i="87"/>
  <c r="D305" i="87"/>
  <c r="E306" i="87" s="1"/>
  <c r="H306" i="87" s="1"/>
  <c r="F305" i="87"/>
  <c r="D306" i="87"/>
  <c r="F306" i="87"/>
  <c r="G306" i="87" s="1"/>
  <c r="D307" i="87"/>
  <c r="E307" i="87"/>
  <c r="F307" i="87"/>
  <c r="G307" i="87" s="1"/>
  <c r="H307" i="87" s="1"/>
  <c r="D308" i="87"/>
  <c r="E309" i="87" s="1"/>
  <c r="H309" i="87" s="1"/>
  <c r="F308" i="87"/>
  <c r="D309" i="87"/>
  <c r="F309" i="87"/>
  <c r="G309" i="87"/>
  <c r="D310" i="87"/>
  <c r="E310" i="87"/>
  <c r="F310" i="87"/>
  <c r="G311" i="87" s="1"/>
  <c r="D311" i="87"/>
  <c r="E311" i="87"/>
  <c r="F311" i="87"/>
  <c r="D312" i="87"/>
  <c r="E313" i="87" s="1"/>
  <c r="H313" i="87" s="1"/>
  <c r="E312" i="87"/>
  <c r="F312" i="87"/>
  <c r="G312" i="87"/>
  <c r="H312" i="87"/>
  <c r="D313" i="87"/>
  <c r="F313" i="87"/>
  <c r="G313" i="87"/>
  <c r="D314" i="87"/>
  <c r="E314" i="87" s="1"/>
  <c r="H314" i="87" s="1"/>
  <c r="F314" i="87"/>
  <c r="G315" i="87" s="1"/>
  <c r="G314" i="87"/>
  <c r="D315" i="87"/>
  <c r="E315" i="87"/>
  <c r="H315" i="87" s="1"/>
  <c r="F315" i="87"/>
  <c r="D316" i="87"/>
  <c r="E316" i="87" s="1"/>
  <c r="F316" i="87"/>
  <c r="G316" i="87" s="1"/>
  <c r="D317" i="87"/>
  <c r="E317" i="87" s="1"/>
  <c r="H317" i="87" s="1"/>
  <c r="F317" i="87"/>
  <c r="G317" i="87"/>
  <c r="D318" i="87"/>
  <c r="F318" i="87"/>
  <c r="G318" i="87" s="1"/>
  <c r="D319" i="87"/>
  <c r="E319" i="87"/>
  <c r="F319" i="87"/>
  <c r="G319" i="87" s="1"/>
  <c r="H319" i="87" s="1"/>
  <c r="D320" i="87"/>
  <c r="E321" i="87" s="1"/>
  <c r="H321" i="87" s="1"/>
  <c r="F320" i="87"/>
  <c r="D321" i="87"/>
  <c r="F321" i="87"/>
  <c r="G321" i="87"/>
  <c r="D322" i="87"/>
  <c r="E322" i="87"/>
  <c r="F322" i="87"/>
  <c r="G323" i="87" s="1"/>
  <c r="D323" i="87"/>
  <c r="E323" i="87"/>
  <c r="F323" i="87"/>
  <c r="D324" i="87"/>
  <c r="E324" i="87" s="1"/>
  <c r="F324" i="87"/>
  <c r="G324" i="87"/>
  <c r="H324" i="87"/>
  <c r="D325" i="87"/>
  <c r="F325" i="87"/>
  <c r="G325" i="87"/>
  <c r="D326" i="87"/>
  <c r="E326" i="87" s="1"/>
  <c r="F326" i="87"/>
  <c r="G326" i="87" s="1"/>
  <c r="D327" i="87"/>
  <c r="E327" i="87"/>
  <c r="F327" i="87"/>
  <c r="D328" i="87"/>
  <c r="E328" i="87" s="1"/>
  <c r="F328" i="87"/>
  <c r="G328" i="87" s="1"/>
  <c r="D329" i="87"/>
  <c r="E329" i="87" s="1"/>
  <c r="F329" i="87"/>
  <c r="G329" i="87"/>
  <c r="D330" i="87"/>
  <c r="F330" i="87"/>
  <c r="G330" i="87" s="1"/>
  <c r="D331" i="87"/>
  <c r="E331" i="87"/>
  <c r="F331" i="87"/>
  <c r="G331" i="87" s="1"/>
  <c r="H331" i="87" s="1"/>
  <c r="D332" i="87"/>
  <c r="E333" i="87" s="1"/>
  <c r="H333" i="87" s="1"/>
  <c r="F332" i="87"/>
  <c r="D333" i="87"/>
  <c r="F333" i="87"/>
  <c r="G333" i="87"/>
  <c r="D334" i="87"/>
  <c r="E334" i="87"/>
  <c r="F334" i="87"/>
  <c r="D335" i="87"/>
  <c r="E335" i="87"/>
  <c r="F335" i="87"/>
  <c r="D336" i="87"/>
  <c r="E337" i="87" s="1"/>
  <c r="H337" i="87" s="1"/>
  <c r="E336" i="87"/>
  <c r="F336" i="87"/>
  <c r="G336" i="87"/>
  <c r="H336" i="87"/>
  <c r="D337" i="87"/>
  <c r="E338" i="87" s="1"/>
  <c r="H338" i="87" s="1"/>
  <c r="F337" i="87"/>
  <c r="G337" i="87"/>
  <c r="D338" i="87"/>
  <c r="F338" i="87"/>
  <c r="G339" i="87" s="1"/>
  <c r="G338" i="87"/>
  <c r="D339" i="87"/>
  <c r="E339" i="87"/>
  <c r="H339" i="87" s="1"/>
  <c r="F339" i="87"/>
  <c r="D340" i="87"/>
  <c r="E340" i="87" s="1"/>
  <c r="F340" i="87"/>
  <c r="G340" i="87" s="1"/>
  <c r="D341" i="87"/>
  <c r="E341" i="87" s="1"/>
  <c r="H341" i="87" s="1"/>
  <c r="F341" i="87"/>
  <c r="G341" i="87"/>
  <c r="D342" i="87"/>
  <c r="F342" i="87"/>
  <c r="G342" i="87" s="1"/>
  <c r="D343" i="87"/>
  <c r="E343" i="87"/>
  <c r="F343" i="87"/>
  <c r="G343" i="87" s="1"/>
  <c r="H343" i="87" s="1"/>
  <c r="D344" i="87"/>
  <c r="E345" i="87" s="1"/>
  <c r="H345" i="87" s="1"/>
  <c r="F344" i="87"/>
  <c r="D345" i="87"/>
  <c r="F345" i="87"/>
  <c r="G345" i="87"/>
  <c r="D346" i="87"/>
  <c r="E346" i="87"/>
  <c r="F346" i="87"/>
  <c r="G347" i="87" s="1"/>
  <c r="D347" i="87"/>
  <c r="E347" i="87"/>
  <c r="F347" i="87"/>
  <c r="D348" i="87"/>
  <c r="E349" i="87" s="1"/>
  <c r="H349" i="87" s="1"/>
  <c r="E348" i="87"/>
  <c r="F348" i="87"/>
  <c r="G348" i="87"/>
  <c r="H348" i="87"/>
  <c r="D349" i="87"/>
  <c r="F349" i="87"/>
  <c r="G349" i="87"/>
  <c r="D350" i="87"/>
  <c r="E350" i="87"/>
  <c r="F350" i="87"/>
  <c r="G351" i="87" s="1"/>
  <c r="G350" i="87"/>
  <c r="H350" i="87" s="1"/>
  <c r="D351" i="87"/>
  <c r="E351" i="87"/>
  <c r="H351" i="87" s="1"/>
  <c r="F351" i="87"/>
  <c r="D352" i="87"/>
  <c r="E352" i="87" s="1"/>
  <c r="H352" i="87" s="1"/>
  <c r="F352" i="87"/>
  <c r="G352" i="87"/>
  <c r="D353" i="87"/>
  <c r="E353" i="87" s="1"/>
  <c r="F353" i="87"/>
  <c r="G353" i="87"/>
  <c r="D354" i="87"/>
  <c r="F354" i="87"/>
  <c r="G354" i="87" s="1"/>
  <c r="D355" i="87"/>
  <c r="E355" i="87"/>
  <c r="F355" i="87"/>
  <c r="G355" i="87" s="1"/>
  <c r="H355" i="87" s="1"/>
  <c r="C23" i="86"/>
  <c r="D51" i="86" s="1"/>
  <c r="D23" i="86"/>
  <c r="C24" i="86"/>
  <c r="D24" i="86"/>
  <c r="D48" i="86"/>
  <c r="E51" i="86"/>
  <c r="D52" i="86"/>
  <c r="E52" i="86"/>
  <c r="C35" i="85"/>
  <c r="G35" i="85" s="1"/>
  <c r="D35" i="85"/>
  <c r="D36" i="85" s="1"/>
  <c r="D37" i="85" s="1"/>
  <c r="D38" i="85" s="1"/>
  <c r="D39" i="85" s="1"/>
  <c r="D40" i="85" s="1"/>
  <c r="D41" i="85" s="1"/>
  <c r="D42" i="85" s="1"/>
  <c r="D43" i="85" s="1"/>
  <c r="D44" i="85" s="1"/>
  <c r="D45" i="85" s="1"/>
  <c r="D46" i="85" s="1"/>
  <c r="D47" i="85" s="1"/>
  <c r="D48" i="85" s="1"/>
  <c r="D49" i="85" s="1"/>
  <c r="D50" i="85" s="1"/>
  <c r="D51" i="85" s="1"/>
  <c r="D52" i="85" s="1"/>
  <c r="D53" i="85" s="1"/>
  <c r="D54" i="85" s="1"/>
  <c r="D55" i="85" s="1"/>
  <c r="D56" i="85" s="1"/>
  <c r="D57" i="85" s="1"/>
  <c r="D58" i="85" s="1"/>
  <c r="D59" i="85" s="1"/>
  <c r="D60" i="85" s="1"/>
  <c r="D61" i="85" s="1"/>
  <c r="D62" i="85" s="1"/>
  <c r="D63" i="85" s="1"/>
  <c r="D64" i="85" s="1"/>
  <c r="D65" i="85" s="1"/>
  <c r="D66" i="85" s="1"/>
  <c r="D67" i="85" s="1"/>
  <c r="D68" i="85" s="1"/>
  <c r="D69" i="85" s="1"/>
  <c r="D70" i="85" s="1"/>
  <c r="D71" i="85" s="1"/>
  <c r="D72" i="85" s="1"/>
  <c r="D73" i="85" s="1"/>
  <c r="D74" i="85" s="1"/>
  <c r="D75" i="85" s="1"/>
  <c r="E35" i="85"/>
  <c r="E36" i="85" s="1"/>
  <c r="E37" i="85" s="1"/>
  <c r="E38" i="85" s="1"/>
  <c r="E39" i="85" s="1"/>
  <c r="E40" i="85" s="1"/>
  <c r="E41" i="85" s="1"/>
  <c r="E42" i="85" s="1"/>
  <c r="E43" i="85" s="1"/>
  <c r="E44" i="85" s="1"/>
  <c r="E45" i="85" s="1"/>
  <c r="E46" i="85" s="1"/>
  <c r="E47" i="85" s="1"/>
  <c r="E48" i="85" s="1"/>
  <c r="E49" i="85" s="1"/>
  <c r="E50" i="85" s="1"/>
  <c r="E51" i="85" s="1"/>
  <c r="E52" i="85" s="1"/>
  <c r="E53" i="85" s="1"/>
  <c r="F35" i="85"/>
  <c r="C36" i="85"/>
  <c r="G36" i="85" s="1"/>
  <c r="C37" i="85"/>
  <c r="K37" i="85" s="1"/>
  <c r="E54" i="85"/>
  <c r="E55" i="85" s="1"/>
  <c r="E56" i="85" s="1"/>
  <c r="E57" i="85" s="1"/>
  <c r="E58" i="85" s="1"/>
  <c r="E59" i="85" s="1"/>
  <c r="E60" i="85" s="1"/>
  <c r="E61" i="85" s="1"/>
  <c r="E62" i="85" s="1"/>
  <c r="E63" i="85" s="1"/>
  <c r="E64" i="85" s="1"/>
  <c r="E65" i="85" s="1"/>
  <c r="E66" i="85" s="1"/>
  <c r="E67" i="85" s="1"/>
  <c r="E68" i="85" s="1"/>
  <c r="E69" i="85" s="1"/>
  <c r="E70" i="85" s="1"/>
  <c r="E71" i="85" s="1"/>
  <c r="E72" i="85" s="1"/>
  <c r="E73" i="85" s="1"/>
  <c r="E74" i="85" s="1"/>
  <c r="E75" i="85" s="1"/>
  <c r="I78" i="85"/>
  <c r="K78" i="85"/>
  <c r="I82" i="85"/>
  <c r="I83" i="85"/>
  <c r="I84" i="85" s="1"/>
  <c r="I25" i="84"/>
  <c r="J25" i="84"/>
  <c r="J29" i="84" s="1"/>
  <c r="K25" i="84"/>
  <c r="I26" i="84"/>
  <c r="J26" i="84"/>
  <c r="K26" i="84"/>
  <c r="I27" i="84"/>
  <c r="J27" i="84"/>
  <c r="K27" i="84"/>
  <c r="I28" i="84"/>
  <c r="J28" i="84"/>
  <c r="K28" i="84"/>
  <c r="N41" i="84"/>
  <c r="N42" i="84"/>
  <c r="N43" i="84"/>
  <c r="S26" i="83"/>
  <c r="S27" i="83" s="1"/>
  <c r="I27" i="83"/>
  <c r="K27" i="83"/>
  <c r="L27" i="83"/>
  <c r="M27" i="83"/>
  <c r="R27" i="83"/>
  <c r="R28" i="83" s="1"/>
  <c r="R29" i="83" s="1"/>
  <c r="R30" i="83" s="1"/>
  <c r="R31" i="83" s="1"/>
  <c r="R32" i="83" s="1"/>
  <c r="R33" i="83" s="1"/>
  <c r="R34" i="83" s="1"/>
  <c r="I28" i="83"/>
  <c r="K28" i="83"/>
  <c r="L28" i="83"/>
  <c r="M28" i="83"/>
  <c r="I29" i="83"/>
  <c r="K29" i="83"/>
  <c r="L29" i="83"/>
  <c r="M29" i="83"/>
  <c r="I30" i="83"/>
  <c r="K30" i="83"/>
  <c r="L30" i="83"/>
  <c r="M30" i="83"/>
  <c r="I31" i="83"/>
  <c r="K31" i="83"/>
  <c r="L31" i="83"/>
  <c r="M31" i="83"/>
  <c r="I32" i="83"/>
  <c r="K32" i="83"/>
  <c r="L32" i="83"/>
  <c r="M32" i="83"/>
  <c r="I33" i="83"/>
  <c r="K33" i="83"/>
  <c r="L33" i="83"/>
  <c r="M33" i="83"/>
  <c r="M34" i="83"/>
  <c r="N34" i="83" s="1"/>
  <c r="M35" i="83"/>
  <c r="N35" i="83"/>
  <c r="O35" i="83"/>
  <c r="M36" i="83"/>
  <c r="N36" i="83" s="1"/>
  <c r="M37" i="83"/>
  <c r="N37" i="83" s="1"/>
  <c r="M38" i="83"/>
  <c r="N38" i="83"/>
  <c r="O38" i="83" s="1"/>
  <c r="J67" i="83" s="1"/>
  <c r="L67" i="83" s="1"/>
  <c r="E48" i="83"/>
  <c r="F48" i="83"/>
  <c r="I48" i="83" s="1"/>
  <c r="G48" i="83"/>
  <c r="L48" i="83" s="1"/>
  <c r="K48" i="83"/>
  <c r="M48" i="83"/>
  <c r="P48" i="83"/>
  <c r="E49" i="83"/>
  <c r="E80" i="83" s="1"/>
  <c r="F49" i="83"/>
  <c r="F80" i="83" s="1"/>
  <c r="G49" i="83"/>
  <c r="M49" i="83"/>
  <c r="N49" i="83"/>
  <c r="I80" i="83" s="1"/>
  <c r="O49" i="83"/>
  <c r="P49" i="83"/>
  <c r="I64" i="83"/>
  <c r="J64" i="83"/>
  <c r="L64" i="83"/>
  <c r="L71" i="83"/>
  <c r="E79" i="83"/>
  <c r="F79" i="83"/>
  <c r="G79" i="83"/>
  <c r="G80" i="83"/>
  <c r="F26" i="76"/>
  <c r="O26" i="76"/>
  <c r="P26" i="76"/>
  <c r="D27" i="76"/>
  <c r="D28" i="76" s="1"/>
  <c r="D29" i="76" s="1"/>
  <c r="D30" i="76" s="1"/>
  <c r="F27" i="76"/>
  <c r="H27" i="76"/>
  <c r="L27" i="76"/>
  <c r="F28" i="76"/>
  <c r="H28" i="76"/>
  <c r="I28" i="76"/>
  <c r="L28" i="76"/>
  <c r="F29" i="76"/>
  <c r="G32" i="76" s="1"/>
  <c r="H29" i="76"/>
  <c r="I29" i="76"/>
  <c r="L29" i="76" s="1"/>
  <c r="H30" i="76"/>
  <c r="I30" i="76"/>
  <c r="I32" i="76" s="1"/>
  <c r="L30" i="76"/>
  <c r="C26" i="75"/>
  <c r="C27" i="75"/>
  <c r="C28" i="75"/>
  <c r="D31" i="75"/>
  <c r="G34" i="75"/>
  <c r="E35" i="75"/>
  <c r="F35" i="75"/>
  <c r="D36" i="75"/>
  <c r="E36" i="75"/>
  <c r="F36" i="75"/>
  <c r="D37" i="75"/>
  <c r="D38" i="75" s="1"/>
  <c r="E37" i="75"/>
  <c r="E38" i="75" s="1"/>
  <c r="H23" i="74"/>
  <c r="G25" i="74"/>
  <c r="G26" i="74" s="1"/>
  <c r="G28" i="74" s="1"/>
  <c r="G30" i="74" s="1"/>
  <c r="G27" i="74"/>
  <c r="J26" i="73"/>
  <c r="L26" i="73" s="1"/>
  <c r="M26" i="73" s="1"/>
  <c r="K26" i="73"/>
  <c r="J27" i="73"/>
  <c r="L27" i="73" s="1"/>
  <c r="M27" i="73" s="1"/>
  <c r="K27" i="73"/>
  <c r="J28" i="73"/>
  <c r="L28" i="73" s="1"/>
  <c r="M28" i="73" s="1"/>
  <c r="K28" i="73"/>
  <c r="J29" i="73"/>
  <c r="L29" i="73" s="1"/>
  <c r="M29" i="73" s="1"/>
  <c r="K29" i="73"/>
  <c r="J30" i="73"/>
  <c r="L30" i="73" s="1"/>
  <c r="M30" i="73" s="1"/>
  <c r="K30" i="73"/>
  <c r="J31" i="73"/>
  <c r="L31" i="73" s="1"/>
  <c r="M31" i="73" s="1"/>
  <c r="K31" i="73"/>
  <c r="J32" i="73"/>
  <c r="L32" i="73" s="1"/>
  <c r="M32" i="73" s="1"/>
  <c r="K32" i="73"/>
  <c r="J33" i="73"/>
  <c r="L33" i="73" s="1"/>
  <c r="M33" i="73" s="1"/>
  <c r="K33" i="73"/>
  <c r="J34" i="73"/>
  <c r="L34" i="73" s="1"/>
  <c r="M34" i="73" s="1"/>
  <c r="K34" i="73"/>
  <c r="J35" i="73"/>
  <c r="L35" i="73" s="1"/>
  <c r="M35" i="73" s="1"/>
  <c r="K35" i="73"/>
  <c r="J36" i="73"/>
  <c r="L36" i="73" s="1"/>
  <c r="M36" i="73" s="1"/>
  <c r="K36" i="73"/>
  <c r="I22" i="72"/>
  <c r="J22" i="72"/>
  <c r="I23" i="72"/>
  <c r="J23" i="72"/>
  <c r="J48" i="72" s="1"/>
  <c r="I24" i="72"/>
  <c r="I49" i="72" s="1"/>
  <c r="J24" i="72"/>
  <c r="J49" i="72" s="1"/>
  <c r="I25" i="72"/>
  <c r="J25" i="72"/>
  <c r="J50" i="72" s="1"/>
  <c r="K50" i="72" s="1"/>
  <c r="I26" i="72"/>
  <c r="L26" i="72" s="1"/>
  <c r="J26" i="72"/>
  <c r="K26" i="72"/>
  <c r="I27" i="72"/>
  <c r="J27" i="72"/>
  <c r="K27" i="72"/>
  <c r="L27" i="72"/>
  <c r="I28" i="72"/>
  <c r="I53" i="72" s="1"/>
  <c r="L53" i="72" s="1"/>
  <c r="J28" i="72"/>
  <c r="J53" i="72" s="1"/>
  <c r="K53" i="72" s="1"/>
  <c r="N53" i="72" s="1"/>
  <c r="K28" i="72"/>
  <c r="I29" i="72"/>
  <c r="L29" i="72" s="1"/>
  <c r="J29" i="72"/>
  <c r="K29" i="72"/>
  <c r="I30" i="72"/>
  <c r="J30" i="72"/>
  <c r="K30" i="72"/>
  <c r="L30" i="72"/>
  <c r="I31" i="72"/>
  <c r="L31" i="72" s="1"/>
  <c r="J31" i="72"/>
  <c r="K31" i="72"/>
  <c r="I32" i="72"/>
  <c r="K32" i="72"/>
  <c r="L32" i="72"/>
  <c r="M37" i="72"/>
  <c r="M40" i="72"/>
  <c r="I47" i="72"/>
  <c r="J47" i="72"/>
  <c r="I48" i="72"/>
  <c r="I50" i="72"/>
  <c r="L50" i="72" s="1"/>
  <c r="I51" i="72"/>
  <c r="L51" i="72" s="1"/>
  <c r="J51" i="72"/>
  <c r="K51" i="72" s="1"/>
  <c r="I52" i="72"/>
  <c r="L52" i="72" s="1"/>
  <c r="J52" i="72"/>
  <c r="K52" i="72"/>
  <c r="N52" i="72" s="1"/>
  <c r="I54" i="72"/>
  <c r="L54" i="72" s="1"/>
  <c r="N54" i="72" s="1"/>
  <c r="J54" i="72"/>
  <c r="K54" i="72"/>
  <c r="I55" i="72"/>
  <c r="L55" i="72" s="1"/>
  <c r="J55" i="72"/>
  <c r="K55" i="72" s="1"/>
  <c r="N55" i="72" s="1"/>
  <c r="I56" i="72"/>
  <c r="J56" i="72"/>
  <c r="I57" i="72"/>
  <c r="J57" i="72"/>
  <c r="N59" i="72"/>
  <c r="N24" i="71"/>
  <c r="J25" i="71"/>
  <c r="J27" i="71"/>
  <c r="K27" i="71"/>
  <c r="L27" i="71"/>
  <c r="M27" i="71"/>
  <c r="I28" i="71"/>
  <c r="J28" i="71"/>
  <c r="M28" i="71" s="1"/>
  <c r="K28" i="71"/>
  <c r="L28" i="71"/>
  <c r="I29" i="71"/>
  <c r="L29" i="71" s="1"/>
  <c r="J29" i="71"/>
  <c r="K29" i="71"/>
  <c r="J33" i="71"/>
  <c r="J35" i="71"/>
  <c r="K35" i="71"/>
  <c r="M35" i="71" s="1"/>
  <c r="L35" i="71"/>
  <c r="I36" i="71"/>
  <c r="J36" i="71"/>
  <c r="M36" i="71" s="1"/>
  <c r="K36" i="71"/>
  <c r="L36" i="71"/>
  <c r="J41" i="71"/>
  <c r="J43" i="71"/>
  <c r="M43" i="71" s="1"/>
  <c r="K43" i="71"/>
  <c r="L43" i="71"/>
  <c r="J58" i="71"/>
  <c r="K58" i="71"/>
  <c r="M62" i="71" s="1"/>
  <c r="M83" i="71" s="1"/>
  <c r="L58" i="71"/>
  <c r="M58" i="71"/>
  <c r="I59" i="71"/>
  <c r="J59" i="71"/>
  <c r="K59" i="71"/>
  <c r="M59" i="71" s="1"/>
  <c r="L59" i="71"/>
  <c r="H73" i="71"/>
  <c r="H74" i="71" s="1"/>
  <c r="H75" i="71" s="1"/>
  <c r="H76" i="71" s="1"/>
  <c r="H77" i="71" s="1"/>
  <c r="H78" i="71" s="1"/>
  <c r="I76" i="71"/>
  <c r="J76" i="71"/>
  <c r="I77" i="71"/>
  <c r="J77" i="71"/>
  <c r="K77" i="71"/>
  <c r="L77" i="71" s="1"/>
  <c r="M77" i="71" s="1"/>
  <c r="I78" i="71"/>
  <c r="J78" i="71"/>
  <c r="L78" i="71"/>
  <c r="M78" i="71"/>
  <c r="J26" i="70"/>
  <c r="K26" i="70"/>
  <c r="M26" i="70" s="1"/>
  <c r="N26" i="70"/>
  <c r="J27" i="70"/>
  <c r="N27" i="70" s="1"/>
  <c r="K27" i="70"/>
  <c r="M27" i="70" s="1"/>
  <c r="L27" i="70"/>
  <c r="J28" i="70"/>
  <c r="N28" i="70" s="1"/>
  <c r="K28" i="70"/>
  <c r="L28" i="70"/>
  <c r="M28" i="70" s="1"/>
  <c r="J29" i="70"/>
  <c r="K29" i="70"/>
  <c r="N29" i="70" s="1"/>
  <c r="L29" i="70"/>
  <c r="M29" i="70"/>
  <c r="J30" i="70"/>
  <c r="K30" i="70"/>
  <c r="N30" i="70" s="1"/>
  <c r="L30" i="70"/>
  <c r="M30" i="70" s="1"/>
  <c r="J31" i="70"/>
  <c r="K31" i="70"/>
  <c r="L31" i="70"/>
  <c r="M31" i="70"/>
  <c r="N31" i="70"/>
  <c r="J32" i="70"/>
  <c r="M32" i="70" s="1"/>
  <c r="K32" i="70"/>
  <c r="L32" i="70"/>
  <c r="J33" i="70"/>
  <c r="N33" i="70" s="1"/>
  <c r="K33" i="70"/>
  <c r="M33" i="70" s="1"/>
  <c r="L33" i="70"/>
  <c r="J34" i="70"/>
  <c r="K34" i="70"/>
  <c r="L34" i="70"/>
  <c r="M34" i="70" s="1"/>
  <c r="N31" i="69"/>
  <c r="P31" i="69" s="1"/>
  <c r="O31" i="69"/>
  <c r="N32" i="69"/>
  <c r="O32" i="69"/>
  <c r="P32" i="69"/>
  <c r="N33" i="69"/>
  <c r="P33" i="69" s="1"/>
  <c r="O33" i="69"/>
  <c r="O34" i="69"/>
  <c r="P34" i="69"/>
  <c r="P38" i="69"/>
  <c r="P39" i="69"/>
  <c r="P40" i="69"/>
  <c r="J27" i="68"/>
  <c r="K27" i="68"/>
  <c r="N27" i="68"/>
  <c r="P55" i="68" s="1"/>
  <c r="J28" i="68"/>
  <c r="K28" i="68"/>
  <c r="N28" i="68"/>
  <c r="J29" i="68"/>
  <c r="N29" i="68"/>
  <c r="K57" i="68" s="1"/>
  <c r="J30" i="68"/>
  <c r="N30" i="68"/>
  <c r="K47" i="68" s="1"/>
  <c r="J31" i="68"/>
  <c r="N31" i="68"/>
  <c r="K45" i="68"/>
  <c r="P45" i="68"/>
  <c r="K46" i="68"/>
  <c r="K48" i="68"/>
  <c r="P56" i="68"/>
  <c r="K58" i="68"/>
  <c r="P58" i="68"/>
  <c r="K59" i="68"/>
  <c r="I22" i="67"/>
  <c r="N22" i="67" s="1"/>
  <c r="O31" i="67" s="1"/>
  <c r="O33" i="67" s="1"/>
  <c r="J22" i="67"/>
  <c r="O22" i="67" s="1"/>
  <c r="K22" i="67"/>
  <c r="L22" i="67"/>
  <c r="I23" i="67"/>
  <c r="N23" i="67" s="1"/>
  <c r="J23" i="67"/>
  <c r="O23" i="67" s="1"/>
  <c r="K23" i="67"/>
  <c r="L23" i="67"/>
  <c r="M23" i="67"/>
  <c r="I24" i="67"/>
  <c r="J24" i="67"/>
  <c r="K24" i="67"/>
  <c r="L24" i="67"/>
  <c r="M24" i="67"/>
  <c r="N24" i="67"/>
  <c r="O24" i="67"/>
  <c r="I25" i="67"/>
  <c r="J25" i="67"/>
  <c r="I26" i="67"/>
  <c r="J26" i="67"/>
  <c r="I27" i="67"/>
  <c r="J27" i="67"/>
  <c r="I28" i="67"/>
  <c r="J28" i="67"/>
  <c r="P22" i="66"/>
  <c r="Q22" i="66"/>
  <c r="P23" i="66"/>
  <c r="Q23" i="66"/>
  <c r="P24" i="66"/>
  <c r="Q24" i="66"/>
  <c r="M25" i="66"/>
  <c r="P25" i="66"/>
  <c r="Q25" i="66"/>
  <c r="R25" i="66"/>
  <c r="M26" i="66"/>
  <c r="R24" i="66" s="1"/>
  <c r="P26" i="66"/>
  <c r="Q26" i="66"/>
  <c r="N33" i="66"/>
  <c r="M23" i="66" s="1"/>
  <c r="N37" i="66"/>
  <c r="P45" i="66"/>
  <c r="Q45" i="66"/>
  <c r="R45" i="66"/>
  <c r="K52" i="66" s="1"/>
  <c r="T45" i="66"/>
  <c r="U45" i="66"/>
  <c r="P46" i="66"/>
  <c r="Q46" i="66"/>
  <c r="M52" i="66" s="1"/>
  <c r="R46" i="66"/>
  <c r="S46" i="66"/>
  <c r="U46" i="66" s="1"/>
  <c r="S47" i="66" s="1"/>
  <c r="U47" i="66" s="1"/>
  <c r="S48" i="66" s="1"/>
  <c r="U48" i="66" s="1"/>
  <c r="S49" i="66" s="1"/>
  <c r="U49" i="66" s="1"/>
  <c r="T46" i="66"/>
  <c r="P47" i="66"/>
  <c r="Q47" i="66"/>
  <c r="R47" i="66"/>
  <c r="T47" i="66"/>
  <c r="P48" i="66"/>
  <c r="Q48" i="66"/>
  <c r="R48" i="66"/>
  <c r="T48" i="66"/>
  <c r="P49" i="66"/>
  <c r="Q49" i="66"/>
  <c r="R49" i="66"/>
  <c r="T49" i="66"/>
  <c r="J59" i="66"/>
  <c r="T59" i="66" s="1"/>
  <c r="U59" i="66" s="1"/>
  <c r="S60" i="66" s="1"/>
  <c r="U60" i="66" s="1"/>
  <c r="S61" i="66" s="1"/>
  <c r="P59" i="66"/>
  <c r="Q59" i="66"/>
  <c r="R59" i="66"/>
  <c r="J60" i="66"/>
  <c r="P60" i="66"/>
  <c r="Q60" i="66"/>
  <c r="R60" i="66"/>
  <c r="T60" i="66"/>
  <c r="J61" i="66"/>
  <c r="P61" i="66" s="1"/>
  <c r="Q61" i="66"/>
  <c r="R61" i="66"/>
  <c r="J62" i="66"/>
  <c r="P62" i="66"/>
  <c r="Q62" i="66"/>
  <c r="R62" i="66"/>
  <c r="J63" i="66"/>
  <c r="P63" i="66" s="1"/>
  <c r="Q63" i="66"/>
  <c r="R63" i="66"/>
  <c r="K66" i="66" s="1"/>
  <c r="L39" i="65"/>
  <c r="M41" i="65" s="1"/>
  <c r="L46" i="65"/>
  <c r="L54" i="65"/>
  <c r="L70" i="65"/>
  <c r="M70" i="65"/>
  <c r="N70" i="65"/>
  <c r="P70" i="65"/>
  <c r="Q70" i="65"/>
  <c r="R70" i="65" s="1"/>
  <c r="L71" i="65"/>
  <c r="M71" i="65"/>
  <c r="N71" i="65"/>
  <c r="P71" i="65" s="1"/>
  <c r="Q71" i="65" s="1"/>
  <c r="R71" i="65" s="1"/>
  <c r="L72" i="65"/>
  <c r="M72" i="65"/>
  <c r="N72" i="65"/>
  <c r="P72" i="65"/>
  <c r="Q72" i="65"/>
  <c r="R72" i="65" s="1"/>
  <c r="L73" i="65"/>
  <c r="M73" i="65"/>
  <c r="N73" i="65"/>
  <c r="P73" i="65" s="1"/>
  <c r="R73" i="65" s="1"/>
  <c r="Q73" i="65"/>
  <c r="N79" i="65"/>
  <c r="L17" i="52"/>
  <c r="O17" i="52"/>
  <c r="K21" i="52"/>
  <c r="L21" i="52"/>
  <c r="M21" i="52"/>
  <c r="N21" i="52"/>
  <c r="N24" i="52" s="1"/>
  <c r="O21" i="52"/>
  <c r="O25" i="52" s="1"/>
  <c r="P21" i="52"/>
  <c r="K22" i="52"/>
  <c r="L22" i="52"/>
  <c r="M22" i="52" s="1"/>
  <c r="M24" i="52" s="1"/>
  <c r="N22" i="52"/>
  <c r="N26" i="52" s="1"/>
  <c r="N30" i="52" s="1"/>
  <c r="O22" i="52"/>
  <c r="P22" i="52"/>
  <c r="K23" i="52"/>
  <c r="L23" i="52"/>
  <c r="M23" i="52"/>
  <c r="N23" i="52"/>
  <c r="N27" i="52" s="1"/>
  <c r="N31" i="52" s="1"/>
  <c r="O23" i="52"/>
  <c r="O27" i="52" s="1"/>
  <c r="P23" i="52"/>
  <c r="K24" i="52"/>
  <c r="L24" i="52"/>
  <c r="K25" i="52"/>
  <c r="L25" i="52"/>
  <c r="M25" i="52" s="1"/>
  <c r="K26" i="52"/>
  <c r="L26" i="52"/>
  <c r="O26" i="52"/>
  <c r="P26" i="52" s="1"/>
  <c r="P30" i="52" s="1"/>
  <c r="K27" i="52"/>
  <c r="L27" i="52"/>
  <c r="M27" i="52"/>
  <c r="K28" i="52"/>
  <c r="K29" i="52"/>
  <c r="K30" i="52"/>
  <c r="O30" i="52"/>
  <c r="K31" i="52"/>
  <c r="L31" i="52"/>
  <c r="M31" i="52" s="1"/>
  <c r="N29" i="51"/>
  <c r="N30" i="51"/>
  <c r="N31" i="51"/>
  <c r="N35" i="51"/>
  <c r="N44" i="51" s="1"/>
  <c r="N36" i="51"/>
  <c r="N45" i="51" s="1"/>
  <c r="N37" i="51"/>
  <c r="N46" i="51" s="1"/>
  <c r="N55" i="51"/>
  <c r="O55" i="51" s="1"/>
  <c r="N56" i="51"/>
  <c r="O56" i="51" s="1"/>
  <c r="N57" i="51"/>
  <c r="O57" i="51"/>
  <c r="N68" i="51"/>
  <c r="O68" i="51"/>
  <c r="P68" i="51"/>
  <c r="N69" i="51"/>
  <c r="O69" i="51"/>
  <c r="P69" i="51"/>
  <c r="N70" i="51"/>
  <c r="N89" i="51" s="1"/>
  <c r="N98" i="51" s="1"/>
  <c r="O70" i="51"/>
  <c r="P70" i="51"/>
  <c r="N71" i="51"/>
  <c r="O71" i="51"/>
  <c r="P71" i="51"/>
  <c r="N72" i="51"/>
  <c r="O72" i="51"/>
  <c r="P72" i="51"/>
  <c r="N78" i="51"/>
  <c r="O78" i="51"/>
  <c r="O83" i="51" s="1"/>
  <c r="P78" i="51"/>
  <c r="P83" i="51" s="1"/>
  <c r="N79" i="51"/>
  <c r="O79" i="51"/>
  <c r="P79" i="51"/>
  <c r="N80" i="51"/>
  <c r="O80" i="51"/>
  <c r="P80" i="51"/>
  <c r="N81" i="51"/>
  <c r="N83" i="51" s="1"/>
  <c r="O81" i="51"/>
  <c r="O90" i="51" s="1"/>
  <c r="P81" i="51"/>
  <c r="P90" i="51" s="1"/>
  <c r="N82" i="51"/>
  <c r="O82" i="51"/>
  <c r="O91" i="51" s="1"/>
  <c r="O100" i="51" s="1"/>
  <c r="P82" i="51"/>
  <c r="P91" i="51" s="1"/>
  <c r="P100" i="51" s="1"/>
  <c r="N88" i="51"/>
  <c r="N97" i="51" s="1"/>
  <c r="O88" i="51"/>
  <c r="O97" i="51" s="1"/>
  <c r="P88" i="51"/>
  <c r="P97" i="51" s="1"/>
  <c r="O89" i="51"/>
  <c r="O98" i="51" s="1"/>
  <c r="P89" i="51"/>
  <c r="P98" i="51" s="1"/>
  <c r="N90" i="51"/>
  <c r="N99" i="51"/>
  <c r="O99" i="51"/>
  <c r="P99" i="51"/>
  <c r="N108" i="51"/>
  <c r="O108" i="51"/>
  <c r="P108" i="51"/>
  <c r="N109" i="51"/>
  <c r="N118" i="51" s="1"/>
  <c r="O109" i="51"/>
  <c r="O118" i="51" s="1"/>
  <c r="P109" i="51"/>
  <c r="P118" i="51" s="1"/>
  <c r="N110" i="51"/>
  <c r="N119" i="51" s="1"/>
  <c r="N128" i="51" s="1"/>
  <c r="O110" i="51"/>
  <c r="O119" i="51" s="1"/>
  <c r="O128" i="51" s="1"/>
  <c r="P110" i="51"/>
  <c r="P119" i="51" s="1"/>
  <c r="P128" i="51" s="1"/>
  <c r="N111" i="51"/>
  <c r="O111" i="51"/>
  <c r="P111" i="51"/>
  <c r="N112" i="51"/>
  <c r="O112" i="51"/>
  <c r="P112" i="51"/>
  <c r="N113" i="51"/>
  <c r="O113" i="51"/>
  <c r="P113" i="51"/>
  <c r="N117" i="51"/>
  <c r="N126" i="51" s="1"/>
  <c r="O117" i="51"/>
  <c r="P117" i="51"/>
  <c r="P122" i="51" s="1"/>
  <c r="N120" i="51"/>
  <c r="N129" i="51" s="1"/>
  <c r="O120" i="51"/>
  <c r="O129" i="51" s="1"/>
  <c r="P120" i="51"/>
  <c r="P129" i="51" s="1"/>
  <c r="N121" i="51"/>
  <c r="N130" i="51" s="1"/>
  <c r="O121" i="51"/>
  <c r="O130" i="51" s="1"/>
  <c r="P121" i="51"/>
  <c r="P130" i="51" s="1"/>
  <c r="O127" i="51"/>
  <c r="P127" i="51"/>
  <c r="N26" i="50"/>
  <c r="N30" i="50" s="1"/>
  <c r="O26" i="50"/>
  <c r="N27" i="50"/>
  <c r="O27" i="50"/>
  <c r="N28" i="50"/>
  <c r="O28" i="50"/>
  <c r="N29" i="50"/>
  <c r="O29" i="50"/>
  <c r="O30" i="50"/>
  <c r="L34" i="50"/>
  <c r="N34" i="50" s="1"/>
  <c r="M34" i="50"/>
  <c r="O34" i="50" s="1"/>
  <c r="M43" i="50" s="1"/>
  <c r="L35" i="50"/>
  <c r="N35" i="50" s="1"/>
  <c r="L44" i="50" s="1"/>
  <c r="M35" i="50"/>
  <c r="O35" i="50" s="1"/>
  <c r="L36" i="50"/>
  <c r="M36" i="50"/>
  <c r="N36" i="50"/>
  <c r="O36" i="50"/>
  <c r="L37" i="50"/>
  <c r="N37" i="50" s="1"/>
  <c r="M37" i="50"/>
  <c r="O37" i="50" s="1"/>
  <c r="L45" i="50"/>
  <c r="M45" i="50"/>
  <c r="L46" i="50"/>
  <c r="M46" i="50"/>
  <c r="L60" i="50"/>
  <c r="M60" i="50"/>
  <c r="L61" i="50"/>
  <c r="M61" i="50"/>
  <c r="J14" i="49"/>
  <c r="J15" i="49"/>
  <c r="J16" i="49"/>
  <c r="J17" i="49"/>
  <c r="J20" i="49"/>
  <c r="K20" i="49"/>
  <c r="J21" i="49"/>
  <c r="K21" i="49"/>
  <c r="L21" i="49"/>
  <c r="J22" i="49"/>
  <c r="K22" i="49"/>
  <c r="L22" i="49" s="1"/>
  <c r="J23" i="49"/>
  <c r="K23" i="49"/>
  <c r="L23" i="49"/>
  <c r="J24" i="49"/>
  <c r="K24" i="49"/>
  <c r="L24" i="49" s="1"/>
  <c r="J25" i="49"/>
  <c r="K25" i="49"/>
  <c r="L25" i="49"/>
  <c r="J26" i="49"/>
  <c r="K26" i="49"/>
  <c r="L26" i="49" s="1"/>
  <c r="J48" i="49"/>
  <c r="J49" i="49"/>
  <c r="J52" i="49"/>
  <c r="P52" i="49" s="1"/>
  <c r="J53" i="49"/>
  <c r="P53" i="49" s="1"/>
  <c r="M56" i="49"/>
  <c r="I58" i="49"/>
  <c r="L58" i="49" s="1"/>
  <c r="J58" i="49"/>
  <c r="K58" i="49" s="1"/>
  <c r="M58" i="49" s="1"/>
  <c r="I59" i="49"/>
  <c r="J59" i="49"/>
  <c r="K59" i="49"/>
  <c r="M59" i="49" s="1"/>
  <c r="N59" i="49" s="1"/>
  <c r="P59" i="49" s="1"/>
  <c r="L59" i="49"/>
  <c r="I60" i="49"/>
  <c r="L60" i="49" s="1"/>
  <c r="J60" i="49"/>
  <c r="K60" i="49"/>
  <c r="M60" i="49" s="1"/>
  <c r="I61" i="49"/>
  <c r="L61" i="49" s="1"/>
  <c r="J61" i="49"/>
  <c r="K61" i="49" s="1"/>
  <c r="M61" i="49" s="1"/>
  <c r="I62" i="49"/>
  <c r="L62" i="49" s="1"/>
  <c r="J62" i="49"/>
  <c r="K62" i="49"/>
  <c r="M62" i="49" s="1"/>
  <c r="M64" i="49"/>
  <c r="N67" i="49" s="1"/>
  <c r="I66" i="49"/>
  <c r="L66" i="49" s="1"/>
  <c r="J66" i="49"/>
  <c r="K66" i="49" s="1"/>
  <c r="I67" i="49"/>
  <c r="J67" i="49"/>
  <c r="K67" i="49" s="1"/>
  <c r="M67" i="49" s="1"/>
  <c r="L67" i="49"/>
  <c r="I68" i="49"/>
  <c r="L68" i="49" s="1"/>
  <c r="J68" i="49"/>
  <c r="K68" i="49" s="1"/>
  <c r="M68" i="49" s="1"/>
  <c r="I69" i="49"/>
  <c r="J69" i="49"/>
  <c r="K69" i="49" s="1"/>
  <c r="M69" i="49" s="1"/>
  <c r="L69" i="49"/>
  <c r="I70" i="49"/>
  <c r="L70" i="49" s="1"/>
  <c r="J70" i="49"/>
  <c r="K70" i="49"/>
  <c r="M72" i="49"/>
  <c r="I74" i="49"/>
  <c r="J74" i="49"/>
  <c r="K74" i="49" s="1"/>
  <c r="L74" i="49"/>
  <c r="M74" i="49"/>
  <c r="N74" i="49"/>
  <c r="I75" i="49"/>
  <c r="J75" i="49"/>
  <c r="K75" i="49" s="1"/>
  <c r="M75" i="49" s="1"/>
  <c r="L75" i="49"/>
  <c r="I76" i="49"/>
  <c r="J76" i="49"/>
  <c r="K76" i="49" s="1"/>
  <c r="L76" i="49"/>
  <c r="M76" i="49"/>
  <c r="N76" i="49"/>
  <c r="I77" i="49"/>
  <c r="J77" i="49"/>
  <c r="K77" i="49" s="1"/>
  <c r="M77" i="49" s="1"/>
  <c r="L77" i="49"/>
  <c r="I78" i="49"/>
  <c r="J78" i="49"/>
  <c r="K78" i="49" s="1"/>
  <c r="L78" i="49"/>
  <c r="M78" i="49"/>
  <c r="N78" i="49"/>
  <c r="I79" i="49"/>
  <c r="J79" i="49"/>
  <c r="K79" i="49" s="1"/>
  <c r="M79" i="49" s="1"/>
  <c r="N79" i="49" s="1"/>
  <c r="L79" i="49"/>
  <c r="M81" i="49"/>
  <c r="I83" i="49"/>
  <c r="J83" i="49"/>
  <c r="K83" i="49"/>
  <c r="M83" i="49" s="1"/>
  <c r="N83" i="49" s="1"/>
  <c r="P83" i="49" s="1"/>
  <c r="L83" i="49"/>
  <c r="I84" i="49"/>
  <c r="L84" i="49" s="1"/>
  <c r="J84" i="49"/>
  <c r="K84" i="49" s="1"/>
  <c r="M84" i="49" s="1"/>
  <c r="N84" i="49" s="1"/>
  <c r="I85" i="49"/>
  <c r="J85" i="49"/>
  <c r="K85" i="49"/>
  <c r="M85" i="49" s="1"/>
  <c r="N85" i="49" s="1"/>
  <c r="L85" i="49"/>
  <c r="I86" i="49"/>
  <c r="L86" i="49" s="1"/>
  <c r="J86" i="49"/>
  <c r="K86" i="49" s="1"/>
  <c r="M86" i="49" s="1"/>
  <c r="N86" i="49" s="1"/>
  <c r="I87" i="49"/>
  <c r="J87" i="49"/>
  <c r="K87" i="49"/>
  <c r="M87" i="49" s="1"/>
  <c r="N87" i="49" s="1"/>
  <c r="L87" i="49"/>
  <c r="M89" i="49"/>
  <c r="I91" i="49"/>
  <c r="L91" i="49" s="1"/>
  <c r="J91" i="49"/>
  <c r="K91" i="49"/>
  <c r="I92" i="49"/>
  <c r="L92" i="49" s="1"/>
  <c r="J92" i="49"/>
  <c r="K92" i="49"/>
  <c r="I93" i="49"/>
  <c r="L93" i="49" s="1"/>
  <c r="J93" i="49"/>
  <c r="K93" i="49"/>
  <c r="M93" i="49" s="1"/>
  <c r="I94" i="49"/>
  <c r="L94" i="49" s="1"/>
  <c r="J94" i="49"/>
  <c r="K94" i="49"/>
  <c r="J26" i="48"/>
  <c r="K26" i="48"/>
  <c r="L26" i="48" s="1"/>
  <c r="M26" i="48"/>
  <c r="N26" i="48" s="1"/>
  <c r="L51" i="48" s="1"/>
  <c r="K67" i="48" s="1"/>
  <c r="J27" i="48"/>
  <c r="L27" i="48" s="1"/>
  <c r="K27" i="48"/>
  <c r="M27" i="48"/>
  <c r="N27" i="48"/>
  <c r="L52" i="48" s="1"/>
  <c r="K68" i="48" s="1"/>
  <c r="J28" i="48"/>
  <c r="K28" i="48"/>
  <c r="L28" i="48" s="1"/>
  <c r="N28" i="48" s="1"/>
  <c r="L53" i="48" s="1"/>
  <c r="K69" i="48" s="1"/>
  <c r="M28" i="48"/>
  <c r="J38" i="48"/>
  <c r="J41" i="48" s="1"/>
  <c r="K38" i="48"/>
  <c r="K41" i="48" s="1"/>
  <c r="J39" i="48"/>
  <c r="K39" i="48"/>
  <c r="L39" i="48" s="1"/>
  <c r="J40" i="48"/>
  <c r="L40" i="48" s="1"/>
  <c r="K40" i="48"/>
  <c r="K51" i="48"/>
  <c r="K54" i="48" s="1"/>
  <c r="K52" i="48"/>
  <c r="J53" i="48"/>
  <c r="K53" i="48"/>
  <c r="J59" i="48"/>
  <c r="K59" i="48"/>
  <c r="K62" i="48" s="1"/>
  <c r="J60" i="48"/>
  <c r="K60" i="48"/>
  <c r="L60" i="48" s="1"/>
  <c r="J68" i="48" s="1"/>
  <c r="J61" i="48"/>
  <c r="L61" i="48" s="1"/>
  <c r="J69" i="48" s="1"/>
  <c r="L69" i="48" s="1"/>
  <c r="K61" i="48"/>
  <c r="J85" i="48"/>
  <c r="K86" i="48" s="1"/>
  <c r="L86" i="48" s="1"/>
  <c r="M96" i="48" s="1"/>
  <c r="K85" i="48"/>
  <c r="L85" i="48" s="1"/>
  <c r="M95" i="48" s="1"/>
  <c r="J86" i="48"/>
  <c r="J87" i="48"/>
  <c r="K87" i="48" s="1"/>
  <c r="L87" i="48" s="1"/>
  <c r="M97" i="48" s="1"/>
  <c r="J88" i="48"/>
  <c r="K88" i="48" s="1"/>
  <c r="L88" i="48" s="1"/>
  <c r="M98" i="48" s="1"/>
  <c r="J89" i="48"/>
  <c r="K90" i="48" s="1"/>
  <c r="L90" i="48" s="1"/>
  <c r="M100" i="48" s="1"/>
  <c r="J90" i="48"/>
  <c r="J91" i="48"/>
  <c r="K91" i="48" s="1"/>
  <c r="L91" i="48" s="1"/>
  <c r="M101" i="48" s="1"/>
  <c r="J95" i="48"/>
  <c r="K95" i="48"/>
  <c r="L95" i="48" s="1"/>
  <c r="N95" i="48" s="1"/>
  <c r="J96" i="48"/>
  <c r="K96" i="48"/>
  <c r="K97" i="48"/>
  <c r="K98" i="48"/>
  <c r="K99" i="48"/>
  <c r="K100" i="48"/>
  <c r="K101" i="48"/>
  <c r="I17" i="47"/>
  <c r="M23" i="47"/>
  <c r="I26" i="47"/>
  <c r="J26" i="47"/>
  <c r="K26" i="47"/>
  <c r="M26" i="47" s="1"/>
  <c r="N26" i="47" s="1"/>
  <c r="R26" i="47" s="1"/>
  <c r="L26" i="47"/>
  <c r="I27" i="47"/>
  <c r="L27" i="47" s="1"/>
  <c r="J27" i="47"/>
  <c r="K27" i="47" s="1"/>
  <c r="M27" i="47" s="1"/>
  <c r="N27" i="47" s="1"/>
  <c r="R27" i="47" s="1"/>
  <c r="I28" i="47"/>
  <c r="L28" i="47" s="1"/>
  <c r="J28" i="47"/>
  <c r="K28" i="47" s="1"/>
  <c r="M28" i="47" s="1"/>
  <c r="N28" i="47" s="1"/>
  <c r="R28" i="47" s="1"/>
  <c r="I29" i="47"/>
  <c r="L29" i="47" s="1"/>
  <c r="J29" i="47"/>
  <c r="K29" i="47" s="1"/>
  <c r="M29" i="47" s="1"/>
  <c r="N29" i="47"/>
  <c r="R29" i="47"/>
  <c r="I30" i="47"/>
  <c r="L30" i="47" s="1"/>
  <c r="J30" i="47"/>
  <c r="K30" i="47"/>
  <c r="M30" i="47"/>
  <c r="N30" i="47" s="1"/>
  <c r="R30" i="47" s="1"/>
  <c r="I34" i="47"/>
  <c r="J34" i="47"/>
  <c r="K34" i="47" s="1"/>
  <c r="L34" i="47"/>
  <c r="M34" i="47"/>
  <c r="N34" i="47"/>
  <c r="R34" i="47" s="1"/>
  <c r="I35" i="47"/>
  <c r="L35" i="47" s="1"/>
  <c r="J35" i="47"/>
  <c r="K35" i="47"/>
  <c r="M35" i="47" s="1"/>
  <c r="N35" i="47" s="1"/>
  <c r="R35" i="47" s="1"/>
  <c r="I36" i="47"/>
  <c r="J36" i="47"/>
  <c r="K36" i="47"/>
  <c r="M36" i="47" s="1"/>
  <c r="L36" i="47"/>
  <c r="I37" i="47"/>
  <c r="L37" i="47" s="1"/>
  <c r="J37" i="47"/>
  <c r="K37" i="47"/>
  <c r="M37" i="47" s="1"/>
  <c r="N37" i="47" s="1"/>
  <c r="R37" i="47"/>
  <c r="M26" i="46"/>
  <c r="M32" i="46" s="1"/>
  <c r="M27" i="46"/>
  <c r="I28" i="46"/>
  <c r="J28" i="46"/>
  <c r="M30" i="46" s="1"/>
  <c r="M34" i="46" s="1"/>
  <c r="M35" i="46" s="1"/>
  <c r="P35" i="46" s="1"/>
  <c r="M31" i="46"/>
  <c r="M33" i="46"/>
  <c r="M37" i="46"/>
  <c r="I40" i="46"/>
  <c r="L40" i="46" s="1"/>
  <c r="J40" i="46"/>
  <c r="I41" i="46"/>
  <c r="J41" i="46"/>
  <c r="L41" i="46"/>
  <c r="I42" i="46"/>
  <c r="L42" i="46" s="1"/>
  <c r="J42" i="46"/>
  <c r="K42" i="46" s="1"/>
  <c r="M42" i="46" s="1"/>
  <c r="I43" i="46"/>
  <c r="L43" i="46" s="1"/>
  <c r="J43" i="46"/>
  <c r="I44" i="46"/>
  <c r="L44" i="46" s="1"/>
  <c r="J44" i="46"/>
  <c r="I48" i="46"/>
  <c r="L48" i="46" s="1"/>
  <c r="J48" i="46"/>
  <c r="I49" i="46"/>
  <c r="L49" i="46" s="1"/>
  <c r="J49" i="46"/>
  <c r="I50" i="46"/>
  <c r="L50" i="46" s="1"/>
  <c r="J50" i="46"/>
  <c r="I51" i="46"/>
  <c r="J51" i="46"/>
  <c r="K51" i="46" s="1"/>
  <c r="M51" i="46" s="1"/>
  <c r="L51" i="46"/>
  <c r="I52" i="46"/>
  <c r="J52" i="46"/>
  <c r="L52" i="46"/>
  <c r="I22" i="45"/>
  <c r="I24" i="45"/>
  <c r="I28" i="45"/>
  <c r="L32" i="45"/>
  <c r="M32" i="45" s="1"/>
  <c r="N32" i="45"/>
  <c r="O32" i="45" s="1"/>
  <c r="L33" i="45"/>
  <c r="M33" i="45"/>
  <c r="N33" i="45"/>
  <c r="O33" i="45" s="1"/>
  <c r="L34" i="45"/>
  <c r="M34" i="45" s="1"/>
  <c r="N34" i="45"/>
  <c r="O34" i="45" s="1"/>
  <c r="D44" i="44"/>
  <c r="E44" i="44"/>
  <c r="F44" i="44"/>
  <c r="G44" i="44"/>
  <c r="H44" i="44"/>
  <c r="I44" i="44"/>
  <c r="M44" i="44"/>
  <c r="D45" i="44"/>
  <c r="E45" i="44"/>
  <c r="F45" i="44"/>
  <c r="G45" i="44"/>
  <c r="H45" i="44"/>
  <c r="I45" i="44"/>
  <c r="M45" i="44" s="1"/>
  <c r="D46" i="44"/>
  <c r="E46" i="44"/>
  <c r="F46" i="44"/>
  <c r="F47" i="44" s="1"/>
  <c r="G46" i="44"/>
  <c r="L46" i="44" s="1"/>
  <c r="J46" i="44"/>
  <c r="D47" i="44" s="1"/>
  <c r="K46" i="44"/>
  <c r="M46" i="44"/>
  <c r="J47" i="44"/>
  <c r="K47" i="44"/>
  <c r="M47" i="44" s="1"/>
  <c r="L47" i="44"/>
  <c r="L48" i="44" s="1"/>
  <c r="L49" i="44" s="1"/>
  <c r="L50" i="44" s="1"/>
  <c r="J48" i="44"/>
  <c r="K48" i="44"/>
  <c r="M48" i="44" s="1"/>
  <c r="J49" i="44"/>
  <c r="K49" i="44"/>
  <c r="M49" i="44"/>
  <c r="J26" i="43"/>
  <c r="L26" i="43" s="1"/>
  <c r="O26" i="43" s="1"/>
  <c r="K26" i="43"/>
  <c r="M26" i="43"/>
  <c r="N26" i="43"/>
  <c r="J27" i="43"/>
  <c r="K27" i="43"/>
  <c r="L27" i="43"/>
  <c r="O27" i="43" s="1"/>
  <c r="M27" i="43"/>
  <c r="N27" i="43"/>
  <c r="P27" i="43"/>
  <c r="J28" i="43"/>
  <c r="L28" i="43" s="1"/>
  <c r="O28" i="43" s="1"/>
  <c r="K28" i="43"/>
  <c r="M28" i="43"/>
  <c r="N28" i="43"/>
  <c r="I46" i="43"/>
  <c r="J50" i="43"/>
  <c r="L50" i="43" s="1"/>
  <c r="K50" i="43"/>
  <c r="M50" i="43"/>
  <c r="N50" i="43" s="1"/>
  <c r="J51" i="43"/>
  <c r="L51" i="43" s="1"/>
  <c r="K51" i="43"/>
  <c r="M51" i="43"/>
  <c r="N51" i="43"/>
  <c r="J52" i="43"/>
  <c r="L52" i="43" s="1"/>
  <c r="K52" i="43"/>
  <c r="M52" i="43"/>
  <c r="N52" i="43" s="1"/>
  <c r="K26" i="42"/>
  <c r="M26" i="42"/>
  <c r="Q26" i="42" s="1"/>
  <c r="N26" i="42"/>
  <c r="P26" i="42"/>
  <c r="K27" i="42"/>
  <c r="L27" i="42"/>
  <c r="M27" i="42" s="1"/>
  <c r="N27" i="42" s="1"/>
  <c r="P27" i="42"/>
  <c r="Q27" i="42"/>
  <c r="K28" i="42"/>
  <c r="P28" i="42"/>
  <c r="K29" i="42"/>
  <c r="P29" i="42"/>
  <c r="K30" i="42"/>
  <c r="P30" i="42"/>
  <c r="K31" i="42"/>
  <c r="P31" i="42"/>
  <c r="K32" i="42"/>
  <c r="P32" i="42"/>
  <c r="K33" i="42"/>
  <c r="P33" i="42"/>
  <c r="K34" i="42"/>
  <c r="P34" i="42"/>
  <c r="K35" i="42"/>
  <c r="P35" i="42"/>
  <c r="K36" i="42"/>
  <c r="P36" i="42"/>
  <c r="K37" i="42"/>
  <c r="P37" i="42"/>
  <c r="K38" i="42"/>
  <c r="P38" i="42"/>
  <c r="K39" i="42"/>
  <c r="P39" i="42"/>
  <c r="K40" i="42"/>
  <c r="P40" i="42"/>
  <c r="K41" i="42"/>
  <c r="P41" i="42"/>
  <c r="K42" i="42"/>
  <c r="P42" i="42"/>
  <c r="K43" i="42"/>
  <c r="P43" i="42"/>
  <c r="K44" i="42"/>
  <c r="P44" i="42"/>
  <c r="K45" i="42"/>
  <c r="P45" i="42"/>
  <c r="K56" i="42"/>
  <c r="L56" i="42"/>
  <c r="P56" i="42" s="1"/>
  <c r="M56" i="42"/>
  <c r="N56" i="42"/>
  <c r="Q56" i="42" s="1"/>
  <c r="K57" i="42"/>
  <c r="L57" i="42"/>
  <c r="P57" i="42" s="1"/>
  <c r="M57" i="42"/>
  <c r="N57" i="42"/>
  <c r="Q57" i="42" s="1"/>
  <c r="K58" i="42"/>
  <c r="L58" i="42"/>
  <c r="P58" i="42" s="1"/>
  <c r="M58" i="42"/>
  <c r="N58" i="42"/>
  <c r="Q58" i="42" s="1"/>
  <c r="K59" i="42"/>
  <c r="L59" i="42"/>
  <c r="M59" i="42"/>
  <c r="N59" i="42"/>
  <c r="P59" i="42"/>
  <c r="Q59" i="42"/>
  <c r="K60" i="42"/>
  <c r="L60" i="42"/>
  <c r="P60" i="42" s="1"/>
  <c r="M60" i="42"/>
  <c r="N60" i="42"/>
  <c r="Q60" i="42" s="1"/>
  <c r="L25" i="41"/>
  <c r="M25" i="41"/>
  <c r="N25" i="41"/>
  <c r="O25" i="41"/>
  <c r="L26" i="41"/>
  <c r="M26" i="41"/>
  <c r="O26" i="41" s="1"/>
  <c r="N26" i="41"/>
  <c r="L27" i="41"/>
  <c r="M27" i="41"/>
  <c r="O27" i="41" s="1"/>
  <c r="N27" i="41"/>
  <c r="L28" i="41"/>
  <c r="M28" i="41"/>
  <c r="O28" i="41" s="1"/>
  <c r="N28" i="41"/>
  <c r="L29" i="41"/>
  <c r="M29" i="41"/>
  <c r="O29" i="41" s="1"/>
  <c r="N29" i="41"/>
  <c r="L33" i="41"/>
  <c r="M33" i="41"/>
  <c r="O33" i="41" s="1"/>
  <c r="N33" i="41"/>
  <c r="L34" i="41"/>
  <c r="M34" i="41"/>
  <c r="N34" i="41"/>
  <c r="O34" i="41"/>
  <c r="L35" i="41"/>
  <c r="M35" i="41"/>
  <c r="O35" i="41" s="1"/>
  <c r="N35" i="41"/>
  <c r="L36" i="41"/>
  <c r="M36" i="41"/>
  <c r="O36" i="41" s="1"/>
  <c r="N36" i="41"/>
  <c r="L37" i="41"/>
  <c r="M37" i="41"/>
  <c r="O37" i="41" s="1"/>
  <c r="N37" i="41"/>
  <c r="L41" i="41"/>
  <c r="M41" i="41"/>
  <c r="O41" i="41" s="1"/>
  <c r="N41" i="41"/>
  <c r="L42" i="41"/>
  <c r="M42" i="41"/>
  <c r="O42" i="41" s="1"/>
  <c r="N42" i="41"/>
  <c r="L43" i="41"/>
  <c r="M43" i="41"/>
  <c r="N43" i="41"/>
  <c r="O43" i="41"/>
  <c r="L44" i="41"/>
  <c r="M44" i="41"/>
  <c r="O44" i="41" s="1"/>
  <c r="N44" i="41"/>
  <c r="L45" i="41"/>
  <c r="M45" i="41"/>
  <c r="O45" i="41" s="1"/>
  <c r="N45" i="41"/>
  <c r="L49" i="41"/>
  <c r="M49" i="41"/>
  <c r="N49" i="41"/>
  <c r="O49" i="41"/>
  <c r="L50" i="41"/>
  <c r="M50" i="41"/>
  <c r="O50" i="41" s="1"/>
  <c r="N50" i="41"/>
  <c r="L51" i="41"/>
  <c r="M51" i="41"/>
  <c r="O51" i="41" s="1"/>
  <c r="N51" i="41"/>
  <c r="L52" i="41"/>
  <c r="M52" i="41"/>
  <c r="N52" i="41"/>
  <c r="O52" i="41"/>
  <c r="L53" i="41"/>
  <c r="M53" i="41"/>
  <c r="O53" i="41" s="1"/>
  <c r="N53" i="41"/>
  <c r="L28" i="40"/>
  <c r="M28" i="40"/>
  <c r="Q28" i="40" s="1"/>
  <c r="N28" i="40"/>
  <c r="O28" i="40"/>
  <c r="R28" i="40" s="1"/>
  <c r="P28" i="40"/>
  <c r="S28" i="40"/>
  <c r="L29" i="40"/>
  <c r="M29" i="40"/>
  <c r="N29" i="40"/>
  <c r="R29" i="40" s="1"/>
  <c r="O29" i="40"/>
  <c r="P29" i="40"/>
  <c r="Q29" i="40"/>
  <c r="S29" i="40"/>
  <c r="L30" i="40"/>
  <c r="M30" i="40"/>
  <c r="Q30" i="40" s="1"/>
  <c r="N30" i="40"/>
  <c r="O30" i="40"/>
  <c r="P30" i="40"/>
  <c r="S30" i="40"/>
  <c r="L31" i="40"/>
  <c r="M31" i="40"/>
  <c r="Q31" i="40" s="1"/>
  <c r="N31" i="40"/>
  <c r="O31" i="40"/>
  <c r="R31" i="40" s="1"/>
  <c r="P31" i="40"/>
  <c r="S31" i="40"/>
  <c r="L32" i="40"/>
  <c r="M32" i="40"/>
  <c r="N32" i="40"/>
  <c r="R32" i="40" s="1"/>
  <c r="O32" i="40"/>
  <c r="P32" i="40"/>
  <c r="Q32" i="40"/>
  <c r="S32" i="40"/>
  <c r="J21" i="39"/>
  <c r="K21" i="39"/>
  <c r="K24" i="39" s="1"/>
  <c r="J27" i="39" s="1"/>
  <c r="J37" i="39" s="1"/>
  <c r="L21" i="39"/>
  <c r="J22" i="39"/>
  <c r="J24" i="39" s="1"/>
  <c r="J31" i="39" s="1"/>
  <c r="K22" i="39"/>
  <c r="L22" i="39"/>
  <c r="L24" i="39" s="1"/>
  <c r="J28" i="39" s="1"/>
  <c r="J38" i="39" s="1"/>
  <c r="I37" i="39"/>
  <c r="I38" i="39"/>
  <c r="I39" i="39"/>
  <c r="K20" i="38"/>
  <c r="K25" i="38"/>
  <c r="L25" i="38" s="1"/>
  <c r="K26" i="38"/>
  <c r="L26" i="38" s="1"/>
  <c r="K29" i="38"/>
  <c r="K32" i="38" s="1"/>
  <c r="L32" i="38" s="1"/>
  <c r="I39" i="38"/>
  <c r="I42" i="38"/>
  <c r="I46" i="38"/>
  <c r="J29" i="37"/>
  <c r="K29" i="37"/>
  <c r="L29" i="37"/>
  <c r="J30" i="37"/>
  <c r="K30" i="37"/>
  <c r="J31" i="37"/>
  <c r="K31" i="37"/>
  <c r="J32" i="37"/>
  <c r="K32" i="37"/>
  <c r="J33" i="37"/>
  <c r="K33" i="37"/>
  <c r="L39" i="37"/>
  <c r="I26" i="36"/>
  <c r="K26" i="36"/>
  <c r="L26" i="36"/>
  <c r="N26" i="36"/>
  <c r="O26" i="36"/>
  <c r="S26" i="36"/>
  <c r="U26" i="36"/>
  <c r="V26" i="36"/>
  <c r="X26" i="36"/>
  <c r="Y26" i="36"/>
  <c r="I27" i="36"/>
  <c r="J27" i="36"/>
  <c r="K27" i="36"/>
  <c r="O27" i="36" s="1"/>
  <c r="L27" i="36"/>
  <c r="N27" i="36"/>
  <c r="S27" i="36"/>
  <c r="T27" i="36"/>
  <c r="U27" i="36"/>
  <c r="X27" i="36"/>
  <c r="I28" i="36"/>
  <c r="J28" i="36"/>
  <c r="J29" i="36" s="1"/>
  <c r="N28" i="36"/>
  <c r="S28" i="36"/>
  <c r="U28" i="36"/>
  <c r="X28" i="36"/>
  <c r="I29" i="36"/>
  <c r="N29" i="36"/>
  <c r="S29" i="36"/>
  <c r="U29" i="36"/>
  <c r="R59" i="36" s="1"/>
  <c r="X29" i="36"/>
  <c r="I30" i="36"/>
  <c r="N30" i="36"/>
  <c r="S30" i="36"/>
  <c r="U30" i="36"/>
  <c r="R60" i="36" s="1"/>
  <c r="X30" i="36"/>
  <c r="I31" i="36"/>
  <c r="N31" i="36"/>
  <c r="S31" i="36"/>
  <c r="U31" i="36"/>
  <c r="X31" i="36"/>
  <c r="I32" i="36"/>
  <c r="N32" i="36"/>
  <c r="S32" i="36"/>
  <c r="U32" i="36"/>
  <c r="X32" i="36"/>
  <c r="I33" i="36"/>
  <c r="N33" i="36"/>
  <c r="S33" i="36"/>
  <c r="U33" i="36"/>
  <c r="X33" i="36"/>
  <c r="I34" i="36"/>
  <c r="N34" i="36"/>
  <c r="S34" i="36"/>
  <c r="U34" i="36"/>
  <c r="R64" i="36" s="1"/>
  <c r="X34" i="36"/>
  <c r="I35" i="36"/>
  <c r="N35" i="36"/>
  <c r="S35" i="36"/>
  <c r="U35" i="36"/>
  <c r="X35" i="36"/>
  <c r="I36" i="36"/>
  <c r="N36" i="36"/>
  <c r="S36" i="36"/>
  <c r="U36" i="36"/>
  <c r="R66" i="36" s="1"/>
  <c r="X36" i="36"/>
  <c r="I37" i="36"/>
  <c r="N37" i="36"/>
  <c r="S37" i="36"/>
  <c r="U37" i="36"/>
  <c r="R67" i="36" s="1"/>
  <c r="X37" i="36"/>
  <c r="I38" i="36"/>
  <c r="N38" i="36"/>
  <c r="S38" i="36"/>
  <c r="U38" i="36"/>
  <c r="R68" i="36" s="1"/>
  <c r="X38" i="36"/>
  <c r="I39" i="36"/>
  <c r="N39" i="36"/>
  <c r="S39" i="36"/>
  <c r="U39" i="36"/>
  <c r="X39" i="36"/>
  <c r="I40" i="36"/>
  <c r="N40" i="36"/>
  <c r="S40" i="36"/>
  <c r="U40" i="36"/>
  <c r="X40" i="36"/>
  <c r="I41" i="36"/>
  <c r="N41" i="36"/>
  <c r="S41" i="36"/>
  <c r="U41" i="36"/>
  <c r="X41" i="36"/>
  <c r="J56" i="36"/>
  <c r="K56" i="36"/>
  <c r="L56" i="36"/>
  <c r="N56" i="36"/>
  <c r="O56" i="36"/>
  <c r="R56" i="36"/>
  <c r="J57" i="36"/>
  <c r="K57" i="36"/>
  <c r="L57" i="36"/>
  <c r="N57" i="36"/>
  <c r="R57" i="36"/>
  <c r="J58" i="36"/>
  <c r="K58" i="36"/>
  <c r="L58" i="36" s="1"/>
  <c r="N58" i="36"/>
  <c r="R58" i="36"/>
  <c r="J59" i="36"/>
  <c r="L59" i="36" s="1"/>
  <c r="K59" i="36"/>
  <c r="N59" i="36"/>
  <c r="J60" i="36"/>
  <c r="K60" i="36"/>
  <c r="L60" i="36"/>
  <c r="N60" i="36"/>
  <c r="J61" i="36"/>
  <c r="K61" i="36"/>
  <c r="L61" i="36"/>
  <c r="N61" i="36"/>
  <c r="R61" i="36"/>
  <c r="J62" i="36"/>
  <c r="K62" i="36"/>
  <c r="L62" i="36" s="1"/>
  <c r="N62" i="36"/>
  <c r="R62" i="36"/>
  <c r="J63" i="36"/>
  <c r="L63" i="36" s="1"/>
  <c r="K63" i="36"/>
  <c r="N63" i="36"/>
  <c r="R63" i="36"/>
  <c r="J64" i="36"/>
  <c r="K64" i="36"/>
  <c r="L64" i="36"/>
  <c r="N64" i="36"/>
  <c r="J65" i="36"/>
  <c r="L65" i="36" s="1"/>
  <c r="K65" i="36"/>
  <c r="N65" i="36"/>
  <c r="R65" i="36"/>
  <c r="J66" i="36"/>
  <c r="K66" i="36"/>
  <c r="L66" i="36" s="1"/>
  <c r="N66" i="36"/>
  <c r="J67" i="36"/>
  <c r="L67" i="36" s="1"/>
  <c r="K67" i="36"/>
  <c r="N67" i="36"/>
  <c r="J68" i="36"/>
  <c r="K68" i="36"/>
  <c r="L68" i="36"/>
  <c r="N68" i="36"/>
  <c r="J69" i="36"/>
  <c r="L69" i="36" s="1"/>
  <c r="K69" i="36"/>
  <c r="N69" i="36"/>
  <c r="R69" i="36"/>
  <c r="J70" i="36"/>
  <c r="K70" i="36"/>
  <c r="L70" i="36" s="1"/>
  <c r="N70" i="36"/>
  <c r="R70" i="36"/>
  <c r="J71" i="36"/>
  <c r="L71" i="36" s="1"/>
  <c r="K71" i="36"/>
  <c r="N71" i="36"/>
  <c r="R71" i="36"/>
  <c r="L27" i="35"/>
  <c r="M27" i="35"/>
  <c r="P27" i="35"/>
  <c r="Q27" i="35"/>
  <c r="S27" i="35"/>
  <c r="L28" i="35"/>
  <c r="R28" i="35" s="1"/>
  <c r="M28" i="35"/>
  <c r="N28" i="35"/>
  <c r="N29" i="35" s="1"/>
  <c r="O28" i="35"/>
  <c r="Q28" i="35" s="1"/>
  <c r="P28" i="35"/>
  <c r="L29" i="35"/>
  <c r="M29" i="35"/>
  <c r="T33" i="35" s="1"/>
  <c r="O29" i="35"/>
  <c r="Q29" i="35" s="1"/>
  <c r="S29" i="35" s="1"/>
  <c r="P29" i="35"/>
  <c r="R29" i="35" s="1"/>
  <c r="L46" i="34"/>
  <c r="M46" i="34"/>
  <c r="N46" i="34"/>
  <c r="S57" i="34" s="1"/>
  <c r="L47" i="34"/>
  <c r="M47" i="34"/>
  <c r="N47" i="34"/>
  <c r="S71" i="34" s="1"/>
  <c r="M57" i="34"/>
  <c r="M58" i="34" s="1"/>
  <c r="N57" i="34"/>
  <c r="P57" i="34" s="1"/>
  <c r="O57" i="34"/>
  <c r="O58" i="34" s="1"/>
  <c r="Q57" i="34"/>
  <c r="R57" i="34"/>
  <c r="N58" i="34"/>
  <c r="N59" i="34" s="1"/>
  <c r="Q58" i="34"/>
  <c r="R58" i="34"/>
  <c r="M59" i="34"/>
  <c r="Q59" i="34"/>
  <c r="R59" i="34"/>
  <c r="M60" i="34"/>
  <c r="Q60" i="34"/>
  <c r="R60" i="34"/>
  <c r="S60" i="34"/>
  <c r="M61" i="34"/>
  <c r="Q61" i="34"/>
  <c r="R61" i="34"/>
  <c r="M68" i="34"/>
  <c r="M69" i="34" s="1"/>
  <c r="N68" i="34"/>
  <c r="P68" i="34" s="1"/>
  <c r="O68" i="34"/>
  <c r="O69" i="34" s="1"/>
  <c r="O70" i="34" s="1"/>
  <c r="O71" i="34" s="1"/>
  <c r="O72" i="34" s="1"/>
  <c r="Q68" i="34"/>
  <c r="R68" i="34"/>
  <c r="Q69" i="34"/>
  <c r="R69" i="34"/>
  <c r="S69" i="34"/>
  <c r="Q70" i="34"/>
  <c r="R70" i="34"/>
  <c r="Q71" i="34"/>
  <c r="R71" i="34"/>
  <c r="Q72" i="34"/>
  <c r="R72" i="34"/>
  <c r="D86" i="33"/>
  <c r="D87" i="33"/>
  <c r="D88" i="33"/>
  <c r="E95" i="33"/>
  <c r="F95" i="33"/>
  <c r="G95" i="33" s="1"/>
  <c r="H95" i="33" s="1"/>
  <c r="I95" i="33" s="1"/>
  <c r="E96" i="33"/>
  <c r="F96" i="33"/>
  <c r="G96" i="33"/>
  <c r="H96" i="33" s="1"/>
  <c r="I96" i="33" s="1"/>
  <c r="E97" i="33"/>
  <c r="F97" i="33"/>
  <c r="G97" i="33"/>
  <c r="H97" i="33" s="1"/>
  <c r="I97" i="33" s="1"/>
  <c r="E99" i="33"/>
  <c r="F99" i="33"/>
  <c r="G99" i="33" s="1"/>
  <c r="E101" i="33"/>
  <c r="F101" i="33"/>
  <c r="G101" i="33" s="1"/>
  <c r="H101" i="33" s="1"/>
  <c r="I101" i="33" s="1"/>
  <c r="E113" i="33" s="1"/>
  <c r="E103" i="33"/>
  <c r="F103" i="33"/>
  <c r="G103" i="33" s="1"/>
  <c r="E105" i="33"/>
  <c r="F105" i="33"/>
  <c r="G105" i="33"/>
  <c r="H105" i="33" s="1"/>
  <c r="I105" i="33" s="1"/>
  <c r="E115" i="33" s="1"/>
  <c r="I20" i="32"/>
  <c r="J20" i="32"/>
  <c r="K20" i="32" s="1"/>
  <c r="L20" i="32" s="1"/>
  <c r="I21" i="32"/>
  <c r="J21" i="32" s="1"/>
  <c r="K21" i="32" s="1"/>
  <c r="L21" i="32" s="1"/>
  <c r="I22" i="32"/>
  <c r="J22" i="32"/>
  <c r="K22" i="32"/>
  <c r="L22" i="32" s="1"/>
  <c r="I23" i="32"/>
  <c r="J23" i="32"/>
  <c r="K23" i="32"/>
  <c r="L23" i="32" s="1"/>
  <c r="I24" i="32"/>
  <c r="J24" i="32"/>
  <c r="K24" i="32" s="1"/>
  <c r="L24" i="32" s="1"/>
  <c r="I25" i="32"/>
  <c r="J25" i="32"/>
  <c r="K25" i="32"/>
  <c r="L25" i="32" s="1"/>
  <c r="I26" i="32"/>
  <c r="J26" i="32"/>
  <c r="K26" i="32"/>
  <c r="L26" i="32" s="1"/>
  <c r="I27" i="32"/>
  <c r="J27" i="32"/>
  <c r="K27" i="32" s="1"/>
  <c r="L27" i="32" s="1"/>
  <c r="I28" i="32"/>
  <c r="J28" i="32"/>
  <c r="K28" i="32"/>
  <c r="L28" i="32" s="1"/>
  <c r="I29" i="32"/>
  <c r="J29" i="32"/>
  <c r="K29" i="32"/>
  <c r="L29" i="32" s="1"/>
  <c r="I30" i="32"/>
  <c r="J30" i="32"/>
  <c r="K30" i="32" s="1"/>
  <c r="L30" i="32" s="1"/>
  <c r="I31" i="32"/>
  <c r="J31" i="32"/>
  <c r="K31" i="32"/>
  <c r="L31" i="32" s="1"/>
  <c r="I32" i="32"/>
  <c r="J32" i="32"/>
  <c r="K32" i="32"/>
  <c r="L32" i="32" s="1"/>
  <c r="I33" i="32"/>
  <c r="J33" i="32"/>
  <c r="K33" i="32" s="1"/>
  <c r="L33" i="32" s="1"/>
  <c r="I34" i="32"/>
  <c r="J34" i="32"/>
  <c r="K34" i="32"/>
  <c r="L34" i="32" s="1"/>
  <c r="I28" i="31"/>
  <c r="K33" i="31" s="1"/>
  <c r="I29" i="31"/>
  <c r="K32" i="31" s="1"/>
  <c r="J32" i="31"/>
  <c r="J33" i="31"/>
  <c r="K48" i="31" s="1"/>
  <c r="J42" i="31"/>
  <c r="K42" i="31"/>
  <c r="L42" i="31"/>
  <c r="L47" i="31" s="1"/>
  <c r="J43" i="31"/>
  <c r="K43" i="31"/>
  <c r="L43" i="31"/>
  <c r="L48" i="31" s="1"/>
  <c r="K47" i="31"/>
  <c r="K49" i="31"/>
  <c r="K50" i="31"/>
  <c r="L50" i="31"/>
  <c r="J18" i="30"/>
  <c r="I19" i="30"/>
  <c r="J19" i="30"/>
  <c r="K19" i="30"/>
  <c r="L19" i="30"/>
  <c r="I20" i="30"/>
  <c r="J20" i="30"/>
  <c r="J23" i="30" s="1"/>
  <c r="L23" i="30" s="1"/>
  <c r="K20" i="30"/>
  <c r="L20" i="30"/>
  <c r="I21" i="30"/>
  <c r="J21" i="30"/>
  <c r="L21" i="30" s="1"/>
  <c r="K21" i="30"/>
  <c r="I22" i="30"/>
  <c r="J22" i="30"/>
  <c r="K22" i="30"/>
  <c r="L22" i="30"/>
  <c r="K23" i="30"/>
  <c r="J35" i="30"/>
  <c r="J37" i="30" s="1"/>
  <c r="J36" i="30"/>
  <c r="J38" i="30"/>
  <c r="J39" i="30"/>
  <c r="J45" i="30" s="1"/>
  <c r="J44" i="30"/>
  <c r="J46" i="30" s="1"/>
  <c r="J48" i="30" s="1"/>
  <c r="J52" i="30" s="1"/>
  <c r="J47" i="30"/>
  <c r="J64" i="30"/>
  <c r="K64" i="30"/>
  <c r="J65" i="30"/>
  <c r="K65" i="30"/>
  <c r="J66" i="30"/>
  <c r="K66" i="30"/>
  <c r="J67" i="30"/>
  <c r="K67" i="30"/>
  <c r="J68" i="30"/>
  <c r="K68" i="30"/>
  <c r="J69" i="30"/>
  <c r="K69" i="30"/>
  <c r="J75" i="30"/>
  <c r="K75" i="30"/>
  <c r="J76" i="30"/>
  <c r="K76" i="30"/>
  <c r="J77" i="30"/>
  <c r="K77" i="30"/>
  <c r="J78" i="30"/>
  <c r="K78" i="30"/>
  <c r="J79" i="30"/>
  <c r="K79" i="30"/>
  <c r="J20" i="6"/>
  <c r="K20" i="6"/>
  <c r="L20" i="6"/>
  <c r="M20" i="6"/>
  <c r="M35" i="6" s="1"/>
  <c r="I21" i="6"/>
  <c r="I22" i="6" s="1"/>
  <c r="J21" i="6"/>
  <c r="J36" i="6" s="1"/>
  <c r="K21" i="6"/>
  <c r="L21" i="6"/>
  <c r="M21" i="6"/>
  <c r="M36" i="6" s="1"/>
  <c r="M51" i="6" s="1"/>
  <c r="J22" i="6"/>
  <c r="M22" i="6"/>
  <c r="M37" i="6" s="1"/>
  <c r="M52" i="6" s="1"/>
  <c r="J23" i="6"/>
  <c r="J38" i="6" s="1"/>
  <c r="M23" i="6"/>
  <c r="M38" i="6" s="1"/>
  <c r="M53" i="6" s="1"/>
  <c r="J24" i="6"/>
  <c r="J54" i="6" s="1"/>
  <c r="M24" i="6"/>
  <c r="M39" i="6" s="1"/>
  <c r="M54" i="6" s="1"/>
  <c r="J25" i="6"/>
  <c r="J40" i="6" s="1"/>
  <c r="M25" i="6"/>
  <c r="M40" i="6" s="1"/>
  <c r="M55" i="6" s="1"/>
  <c r="J26" i="6"/>
  <c r="J56" i="6" s="1"/>
  <c r="M26" i="6"/>
  <c r="M41" i="6" s="1"/>
  <c r="M56" i="6" s="1"/>
  <c r="J27" i="6"/>
  <c r="J42" i="6" s="1"/>
  <c r="M27" i="6"/>
  <c r="M42" i="6" s="1"/>
  <c r="M57" i="6" s="1"/>
  <c r="J28" i="6"/>
  <c r="J43" i="6" s="1"/>
  <c r="M28" i="6"/>
  <c r="J29" i="6"/>
  <c r="J59" i="6" s="1"/>
  <c r="M29" i="6"/>
  <c r="J30" i="6"/>
  <c r="J45" i="6" s="1"/>
  <c r="M30" i="6"/>
  <c r="M45" i="6" s="1"/>
  <c r="M60" i="6" s="1"/>
  <c r="J35" i="6"/>
  <c r="K35" i="6" s="1"/>
  <c r="L35" i="6"/>
  <c r="I36" i="6"/>
  <c r="L36" i="6"/>
  <c r="I37" i="6"/>
  <c r="I38" i="6" s="1"/>
  <c r="J37" i="6"/>
  <c r="L37" i="6"/>
  <c r="J39" i="6"/>
  <c r="M44" i="6"/>
  <c r="M59" i="6" s="1"/>
  <c r="J50" i="6"/>
  <c r="K50" i="6"/>
  <c r="L50" i="6"/>
  <c r="I51" i="6"/>
  <c r="L51" i="6" s="1"/>
  <c r="J51" i="6"/>
  <c r="J52" i="6"/>
  <c r="J53" i="6"/>
  <c r="J60" i="6"/>
  <c r="B94" i="6"/>
  <c r="B96" i="6" s="1"/>
  <c r="M277" i="87" l="1"/>
  <c r="H335" i="87"/>
  <c r="H326" i="87"/>
  <c r="J80" i="83"/>
  <c r="L80" i="83" s="1"/>
  <c r="Q49" i="83"/>
  <c r="H347" i="87"/>
  <c r="G335" i="87"/>
  <c r="G334" i="87"/>
  <c r="O36" i="83"/>
  <c r="J65" i="83" s="1"/>
  <c r="L65" i="83" s="1"/>
  <c r="I65" i="83"/>
  <c r="S28" i="83"/>
  <c r="S29" i="83" s="1"/>
  <c r="S30" i="83" s="1"/>
  <c r="S31" i="83" s="1"/>
  <c r="S32" i="83" s="1"/>
  <c r="S33" i="83" s="1"/>
  <c r="S34" i="83" s="1"/>
  <c r="H353" i="87"/>
  <c r="H329" i="87"/>
  <c r="M278" i="87"/>
  <c r="P278" i="87" s="1"/>
  <c r="R278" i="87" s="1"/>
  <c r="M276" i="87"/>
  <c r="P276" i="87" s="1"/>
  <c r="R276" i="87" s="1"/>
  <c r="L275" i="87"/>
  <c r="O275" i="87" s="1"/>
  <c r="Q275" i="87" s="1"/>
  <c r="I66" i="83"/>
  <c r="O37" i="83"/>
  <c r="J66" i="83" s="1"/>
  <c r="L66" i="83" s="1"/>
  <c r="K29" i="84"/>
  <c r="L35" i="84" s="1"/>
  <c r="H328" i="87"/>
  <c r="H334" i="87"/>
  <c r="H316" i="87"/>
  <c r="H340" i="87"/>
  <c r="H311" i="87"/>
  <c r="O277" i="87"/>
  <c r="Q277" i="87" s="1"/>
  <c r="I63" i="83"/>
  <c r="O34" i="83"/>
  <c r="J63" i="83" s="1"/>
  <c r="L63" i="83" s="1"/>
  <c r="H323" i="87"/>
  <c r="I37" i="85"/>
  <c r="G37" i="85"/>
  <c r="K35" i="85"/>
  <c r="E354" i="87"/>
  <c r="H354" i="87" s="1"/>
  <c r="G344" i="87"/>
  <c r="E342" i="87"/>
  <c r="H342" i="87" s="1"/>
  <c r="G332" i="87"/>
  <c r="E330" i="87"/>
  <c r="H330" i="87" s="1"/>
  <c r="G320" i="87"/>
  <c r="E318" i="87"/>
  <c r="H318" i="87" s="1"/>
  <c r="G308" i="87"/>
  <c r="F37" i="85"/>
  <c r="I35" i="85"/>
  <c r="G327" i="87"/>
  <c r="H327" i="87" s="1"/>
  <c r="E325" i="87"/>
  <c r="H325" i="87" s="1"/>
  <c r="G346" i="87"/>
  <c r="H346" i="87" s="1"/>
  <c r="E344" i="87"/>
  <c r="H344" i="87" s="1"/>
  <c r="E332" i="87"/>
  <c r="G322" i="87"/>
  <c r="H322" i="87" s="1"/>
  <c r="E320" i="87"/>
  <c r="G310" i="87"/>
  <c r="H310" i="87" s="1"/>
  <c r="E308" i="87"/>
  <c r="H308" i="87" s="1"/>
  <c r="M275" i="87"/>
  <c r="P275" i="87" s="1"/>
  <c r="R275" i="87" s="1"/>
  <c r="I67" i="83"/>
  <c r="K36" i="85"/>
  <c r="I36" i="85"/>
  <c r="F36" i="85"/>
  <c r="C38" i="85"/>
  <c r="P277" i="87"/>
  <c r="R277" i="87" s="1"/>
  <c r="M29" i="71"/>
  <c r="N36" i="66"/>
  <c r="K23" i="66" s="1"/>
  <c r="K29" i="66" s="1"/>
  <c r="N51" i="72"/>
  <c r="M38" i="73"/>
  <c r="M35" i="70"/>
  <c r="N39" i="70" s="1"/>
  <c r="N40" i="70" s="1"/>
  <c r="Q66" i="66"/>
  <c r="R66" i="66"/>
  <c r="R23" i="66"/>
  <c r="L25" i="66"/>
  <c r="N34" i="66" s="1"/>
  <c r="F38" i="75"/>
  <c r="D39" i="75"/>
  <c r="F39" i="75" s="1"/>
  <c r="H35" i="76"/>
  <c r="F41" i="75"/>
  <c r="F43" i="75" s="1"/>
  <c r="M39" i="71"/>
  <c r="M64" i="71" s="1"/>
  <c r="N50" i="72"/>
  <c r="N58" i="72" s="1"/>
  <c r="N60" i="72" s="1"/>
  <c r="N35" i="70"/>
  <c r="M47" i="71"/>
  <c r="F37" i="75"/>
  <c r="M27" i="66"/>
  <c r="M24" i="66"/>
  <c r="M29" i="66" s="1"/>
  <c r="P44" i="68"/>
  <c r="L28" i="72"/>
  <c r="M36" i="72" s="1"/>
  <c r="M38" i="72" s="1"/>
  <c r="M41" i="72" s="1"/>
  <c r="P46" i="68"/>
  <c r="Q46" i="68" s="1"/>
  <c r="P57" i="68"/>
  <c r="M31" i="71"/>
  <c r="K76" i="71"/>
  <c r="L76" i="71" s="1"/>
  <c r="M76" i="71" s="1"/>
  <c r="M81" i="71" s="1"/>
  <c r="M85" i="71" s="1"/>
  <c r="N32" i="70"/>
  <c r="K29" i="68"/>
  <c r="T29" i="35"/>
  <c r="P28" i="43"/>
  <c r="Q28" i="43"/>
  <c r="I47" i="43" s="1"/>
  <c r="J54" i="30"/>
  <c r="J55" i="30"/>
  <c r="J56" i="30"/>
  <c r="L35" i="32"/>
  <c r="O59" i="34"/>
  <c r="O60" i="34" s="1"/>
  <c r="O61" i="34" s="1"/>
  <c r="P58" i="34"/>
  <c r="H103" i="33"/>
  <c r="I103" i="33" s="1"/>
  <c r="E114" i="33" s="1"/>
  <c r="S28" i="35"/>
  <c r="T28" i="35" s="1"/>
  <c r="N122" i="51"/>
  <c r="N127" i="51"/>
  <c r="N131" i="51" s="1"/>
  <c r="P59" i="34"/>
  <c r="N60" i="34"/>
  <c r="I35" i="31"/>
  <c r="H99" i="33"/>
  <c r="I99" i="33" s="1"/>
  <c r="E112" i="33" s="1"/>
  <c r="E116" i="33" s="1"/>
  <c r="E117" i="33" s="1"/>
  <c r="P54" i="46"/>
  <c r="P55" i="46" s="1"/>
  <c r="J62" i="48"/>
  <c r="L62" i="48" s="1"/>
  <c r="J70" i="48" s="1"/>
  <c r="L30" i="37"/>
  <c r="L31" i="37" s="1"/>
  <c r="L32" i="37" s="1"/>
  <c r="L33" i="37" s="1"/>
  <c r="J29" i="39"/>
  <c r="N51" i="46"/>
  <c r="N36" i="47"/>
  <c r="R36" i="47" s="1"/>
  <c r="L41" i="48"/>
  <c r="L28" i="52"/>
  <c r="J61" i="30"/>
  <c r="S58" i="34"/>
  <c r="M94" i="49"/>
  <c r="N94" i="49" s="1"/>
  <c r="P94" i="49" s="1"/>
  <c r="N75" i="49"/>
  <c r="M70" i="34"/>
  <c r="K28" i="36"/>
  <c r="L45" i="44"/>
  <c r="K52" i="46"/>
  <c r="M52" i="46" s="1"/>
  <c r="N52" i="46" s="1"/>
  <c r="N42" i="46"/>
  <c r="P42" i="46" s="1"/>
  <c r="J52" i="48"/>
  <c r="N69" i="49"/>
  <c r="P69" i="49" s="1"/>
  <c r="P96" i="49" s="1"/>
  <c r="P97" i="49" s="1"/>
  <c r="M66" i="49"/>
  <c r="N66" i="49" s="1"/>
  <c r="M44" i="50"/>
  <c r="R24" i="52"/>
  <c r="P25" i="52"/>
  <c r="O29" i="52"/>
  <c r="J53" i="30"/>
  <c r="L49" i="31"/>
  <c r="I55" i="31" s="1"/>
  <c r="I56" i="31" s="1"/>
  <c r="I37" i="31"/>
  <c r="N41" i="46"/>
  <c r="K43" i="46"/>
  <c r="M43" i="46" s="1"/>
  <c r="K48" i="46"/>
  <c r="M48" i="46" s="1"/>
  <c r="N48" i="46" s="1"/>
  <c r="K50" i="46"/>
  <c r="M50" i="46" s="1"/>
  <c r="K44" i="46"/>
  <c r="M44" i="46" s="1"/>
  <c r="N44" i="46" s="1"/>
  <c r="K49" i="46"/>
  <c r="M49" i="46" s="1"/>
  <c r="N49" i="46" s="1"/>
  <c r="K89" i="48"/>
  <c r="L89" i="48" s="1"/>
  <c r="M99" i="48" s="1"/>
  <c r="J51" i="48"/>
  <c r="J54" i="48" s="1"/>
  <c r="L54" i="48" s="1"/>
  <c r="K70" i="48" s="1"/>
  <c r="N77" i="49"/>
  <c r="L20" i="49"/>
  <c r="L43" i="50"/>
  <c r="N38" i="50"/>
  <c r="L47" i="50" s="1"/>
  <c r="P27" i="52"/>
  <c r="P31" i="52" s="1"/>
  <c r="O31" i="52"/>
  <c r="O24" i="52"/>
  <c r="P24" i="52"/>
  <c r="S24" i="52" s="1"/>
  <c r="M72" i="34"/>
  <c r="K29" i="36"/>
  <c r="J30" i="36"/>
  <c r="S61" i="34"/>
  <c r="S59" i="34"/>
  <c r="D48" i="44"/>
  <c r="K41" i="46"/>
  <c r="M41" i="46" s="1"/>
  <c r="L68" i="48"/>
  <c r="M92" i="49"/>
  <c r="N92" i="49" s="1"/>
  <c r="O38" i="50"/>
  <c r="M47" i="50" s="1"/>
  <c r="O122" i="51"/>
  <c r="M26" i="52"/>
  <c r="M28" i="52" s="1"/>
  <c r="L30" i="52"/>
  <c r="M30" i="52" s="1"/>
  <c r="N68" i="49"/>
  <c r="R27" i="35"/>
  <c r="R30" i="35" s="1"/>
  <c r="V27" i="36"/>
  <c r="N50" i="46"/>
  <c r="P50" i="46" s="1"/>
  <c r="N58" i="49"/>
  <c r="N91" i="51"/>
  <c r="N100" i="51" s="1"/>
  <c r="N87" i="51"/>
  <c r="T27" i="35"/>
  <c r="L97" i="48"/>
  <c r="N97" i="48" s="1"/>
  <c r="M71" i="34"/>
  <c r="S30" i="35"/>
  <c r="T30" i="35" s="1"/>
  <c r="L28" i="42"/>
  <c r="F48" i="44"/>
  <c r="N40" i="46"/>
  <c r="J97" i="48"/>
  <c r="J98" i="48" s="1"/>
  <c r="L96" i="48"/>
  <c r="N96" i="48" s="1"/>
  <c r="L59" i="48"/>
  <c r="J67" i="48" s="1"/>
  <c r="L67" i="48" s="1"/>
  <c r="M70" i="49"/>
  <c r="N70" i="49" s="1"/>
  <c r="L29" i="52"/>
  <c r="N25" i="52"/>
  <c r="N69" i="34"/>
  <c r="S72" i="34"/>
  <c r="S70" i="34"/>
  <c r="S68" i="34"/>
  <c r="K31" i="38"/>
  <c r="R30" i="40"/>
  <c r="L53" i="43"/>
  <c r="L54" i="43" s="1"/>
  <c r="N54" i="43" s="1"/>
  <c r="N57" i="43" s="1"/>
  <c r="N43" i="46"/>
  <c r="K40" i="46"/>
  <c r="M40" i="46" s="1"/>
  <c r="L38" i="48"/>
  <c r="M91" i="49"/>
  <c r="N91" i="49" s="1"/>
  <c r="K32" i="52"/>
  <c r="N61" i="49"/>
  <c r="N93" i="49"/>
  <c r="N62" i="49"/>
  <c r="N60" i="49"/>
  <c r="P126" i="51"/>
  <c r="P131" i="51" s="1"/>
  <c r="P87" i="51"/>
  <c r="O126" i="51"/>
  <c r="O131" i="51" s="1"/>
  <c r="O87" i="51"/>
  <c r="Y27" i="36"/>
  <c r="O57" i="36" s="1"/>
  <c r="E47" i="44"/>
  <c r="E48" i="44" s="1"/>
  <c r="T28" i="36"/>
  <c r="V28" i="36" s="1"/>
  <c r="J44" i="6"/>
  <c r="K51" i="6"/>
  <c r="K52" i="6" s="1"/>
  <c r="K53" i="6" s="1"/>
  <c r="K54" i="6" s="1"/>
  <c r="K55" i="6" s="1"/>
  <c r="K56" i="6" s="1"/>
  <c r="K57" i="6" s="1"/>
  <c r="K58" i="6" s="1"/>
  <c r="K59" i="6" s="1"/>
  <c r="K60" i="6" s="1"/>
  <c r="J55" i="6"/>
  <c r="K22" i="6"/>
  <c r="K23" i="6" s="1"/>
  <c r="K24" i="6" s="1"/>
  <c r="K25" i="6" s="1"/>
  <c r="K26" i="6" s="1"/>
  <c r="K27" i="6" s="1"/>
  <c r="K28" i="6" s="1"/>
  <c r="K29" i="6" s="1"/>
  <c r="K30" i="6" s="1"/>
  <c r="J58" i="6"/>
  <c r="J57" i="6"/>
  <c r="L38" i="6"/>
  <c r="I39" i="6"/>
  <c r="I23" i="6"/>
  <c r="L22" i="6"/>
  <c r="K36" i="6"/>
  <c r="K37" i="6" s="1"/>
  <c r="K38" i="6" s="1"/>
  <c r="K39" i="6" s="1"/>
  <c r="K40" i="6" s="1"/>
  <c r="M50" i="6"/>
  <c r="M43" i="6"/>
  <c r="M58" i="6" s="1"/>
  <c r="I52" i="6"/>
  <c r="J41" i="6"/>
  <c r="H320" i="87" l="1"/>
  <c r="F38" i="85"/>
  <c r="G38" i="85"/>
  <c r="I38" i="85"/>
  <c r="K38" i="85"/>
  <c r="C39" i="85"/>
  <c r="H332" i="87"/>
  <c r="S35" i="83"/>
  <c r="L36" i="84"/>
  <c r="L41" i="84"/>
  <c r="L24" i="66"/>
  <c r="N35" i="66" s="1"/>
  <c r="R22" i="66"/>
  <c r="Q68" i="66"/>
  <c r="H37" i="75"/>
  <c r="H35" i="75"/>
  <c r="H38" i="75"/>
  <c r="H36" i="75"/>
  <c r="H34" i="75"/>
  <c r="I34" i="75" s="1"/>
  <c r="I35" i="75" s="1"/>
  <c r="I36" i="75" s="1"/>
  <c r="K26" i="76"/>
  <c r="M27" i="76" s="1"/>
  <c r="K29" i="76"/>
  <c r="K28" i="76"/>
  <c r="H37" i="76"/>
  <c r="K27" i="76"/>
  <c r="P38" i="66"/>
  <c r="K30" i="68"/>
  <c r="J31" i="36"/>
  <c r="K30" i="36"/>
  <c r="N70" i="34"/>
  <c r="P69" i="34"/>
  <c r="G47" i="44"/>
  <c r="N61" i="34"/>
  <c r="P60" i="34"/>
  <c r="L29" i="42"/>
  <c r="M28" i="42"/>
  <c r="D49" i="44"/>
  <c r="E49" i="44"/>
  <c r="L70" i="48"/>
  <c r="O96" i="51"/>
  <c r="O101" i="51" s="1"/>
  <c r="O92" i="51"/>
  <c r="N28" i="52"/>
  <c r="P28" i="52" s="1"/>
  <c r="S28" i="52" s="1"/>
  <c r="O28" i="52"/>
  <c r="N29" i="52"/>
  <c r="T29" i="36"/>
  <c r="Y28" i="36"/>
  <c r="O58" i="36" s="1"/>
  <c r="L75" i="30"/>
  <c r="M75" i="30" s="1"/>
  <c r="N75" i="30" s="1"/>
  <c r="L78" i="30"/>
  <c r="M78" i="30" s="1"/>
  <c r="N78" i="30" s="1"/>
  <c r="L76" i="30"/>
  <c r="M76" i="30" s="1"/>
  <c r="N76" i="30" s="1"/>
  <c r="L79" i="30"/>
  <c r="M79" i="30" s="1"/>
  <c r="N79" i="30" s="1"/>
  <c r="L77" i="30"/>
  <c r="M77" i="30" s="1"/>
  <c r="N77" i="30" s="1"/>
  <c r="P29" i="52"/>
  <c r="R28" i="52"/>
  <c r="L31" i="38"/>
  <c r="K34" i="38" s="1"/>
  <c r="I38" i="38" s="1"/>
  <c r="I40" i="38" s="1"/>
  <c r="I43" i="38" s="1"/>
  <c r="I45" i="38" s="1"/>
  <c r="I47" i="38" s="1"/>
  <c r="I48" i="38" s="1"/>
  <c r="R34" i="38"/>
  <c r="N96" i="51"/>
  <c r="N101" i="51" s="1"/>
  <c r="N92" i="51"/>
  <c r="L28" i="36"/>
  <c r="O28" i="36"/>
  <c r="J99" i="48"/>
  <c r="L98" i="48"/>
  <c r="N98" i="48" s="1"/>
  <c r="J39" i="39"/>
  <c r="J41" i="39" s="1"/>
  <c r="K41" i="39" s="1"/>
  <c r="L32" i="52"/>
  <c r="M29" i="52"/>
  <c r="M32" i="52" s="1"/>
  <c r="P96" i="51"/>
  <c r="P101" i="51" s="1"/>
  <c r="P92" i="51"/>
  <c r="O29" i="36"/>
  <c r="L29" i="36"/>
  <c r="J33" i="39"/>
  <c r="F49" i="44"/>
  <c r="G48" i="44"/>
  <c r="L35" i="37"/>
  <c r="L42" i="37" s="1"/>
  <c r="I40" i="6"/>
  <c r="L39" i="6"/>
  <c r="L23" i="6"/>
  <c r="I24" i="6"/>
  <c r="I53" i="6"/>
  <c r="L52" i="6"/>
  <c r="K41" i="6"/>
  <c r="K42" i="6" s="1"/>
  <c r="K43" i="6" s="1"/>
  <c r="K44" i="6" s="1"/>
  <c r="K45" i="6" s="1"/>
  <c r="L37" i="84" l="1"/>
  <c r="L43" i="84" s="1"/>
  <c r="L42" i="84"/>
  <c r="L48" i="84"/>
  <c r="L50" i="84" s="1"/>
  <c r="J28" i="83"/>
  <c r="N28" i="83" s="1"/>
  <c r="J32" i="83"/>
  <c r="N32" i="83" s="1"/>
  <c r="J27" i="83"/>
  <c r="N27" i="83" s="1"/>
  <c r="J31" i="83"/>
  <c r="N31" i="83" s="1"/>
  <c r="J48" i="83"/>
  <c r="N48" i="83" s="1"/>
  <c r="J30" i="83"/>
  <c r="N30" i="83" s="1"/>
  <c r="J29" i="83"/>
  <c r="N29" i="83" s="1"/>
  <c r="J33" i="83"/>
  <c r="N33" i="83" s="1"/>
  <c r="G39" i="85"/>
  <c r="C40" i="85"/>
  <c r="I39" i="85"/>
  <c r="K39" i="85"/>
  <c r="F39" i="85"/>
  <c r="M28" i="76"/>
  <c r="O27" i="76"/>
  <c r="P27" i="76"/>
  <c r="I37" i="75"/>
  <c r="I38" i="75" s="1"/>
  <c r="K37" i="75"/>
  <c r="K31" i="68"/>
  <c r="Q58" i="68"/>
  <c r="M33" i="68"/>
  <c r="M61" i="66"/>
  <c r="M62" i="66"/>
  <c r="T62" i="66" s="1"/>
  <c r="M63" i="66"/>
  <c r="T63" i="66" s="1"/>
  <c r="N33" i="68"/>
  <c r="M35" i="68" s="1"/>
  <c r="Q28" i="42"/>
  <c r="N28" i="42"/>
  <c r="M29" i="42"/>
  <c r="L30" i="42"/>
  <c r="V29" i="36"/>
  <c r="T30" i="36"/>
  <c r="Y29" i="36"/>
  <c r="O59" i="36" s="1"/>
  <c r="N32" i="52"/>
  <c r="P32" i="52" s="1"/>
  <c r="S32" i="52" s="1"/>
  <c r="S36" i="52" s="1"/>
  <c r="R40" i="52" s="1"/>
  <c r="O32" i="52"/>
  <c r="R32" i="52" s="1"/>
  <c r="R36" i="52" s="1"/>
  <c r="P61" i="34"/>
  <c r="R62" i="34"/>
  <c r="J100" i="48"/>
  <c r="L99" i="48"/>
  <c r="N99" i="48" s="1"/>
  <c r="F50" i="44"/>
  <c r="G49" i="44"/>
  <c r="P70" i="34"/>
  <c r="N71" i="34"/>
  <c r="L30" i="36"/>
  <c r="O30" i="36"/>
  <c r="K31" i="36"/>
  <c r="J32" i="36"/>
  <c r="S62" i="34"/>
  <c r="D50" i="44"/>
  <c r="D51" i="44" s="1"/>
  <c r="E50" i="44"/>
  <c r="E51" i="44" s="1"/>
  <c r="E52" i="44" s="1"/>
  <c r="I54" i="6"/>
  <c r="L53" i="6"/>
  <c r="I25" i="6"/>
  <c r="L24" i="6"/>
  <c r="L40" i="6"/>
  <c r="I41" i="6"/>
  <c r="I62" i="83" l="1"/>
  <c r="K62" i="83" s="1"/>
  <c r="O33" i="83"/>
  <c r="J62" i="83" s="1"/>
  <c r="L62" i="83" s="1"/>
  <c r="O30" i="83"/>
  <c r="J59" i="83" s="1"/>
  <c r="I59" i="83"/>
  <c r="K59" i="83" s="1"/>
  <c r="I79" i="83"/>
  <c r="K79" i="83" s="1"/>
  <c r="K81" i="83" s="1"/>
  <c r="O48" i="83"/>
  <c r="I61" i="83"/>
  <c r="K61" i="83" s="1"/>
  <c r="O32" i="83"/>
  <c r="J61" i="83" s="1"/>
  <c r="L61" i="83" s="1"/>
  <c r="O29" i="83"/>
  <c r="J58" i="83" s="1"/>
  <c r="I58" i="83"/>
  <c r="K58" i="83" s="1"/>
  <c r="I57" i="83"/>
  <c r="K57" i="83" s="1"/>
  <c r="O28" i="83"/>
  <c r="J57" i="83" s="1"/>
  <c r="L57" i="83" s="1"/>
  <c r="I56" i="83"/>
  <c r="K56" i="83" s="1"/>
  <c r="O27" i="83"/>
  <c r="I60" i="83"/>
  <c r="K60" i="83" s="1"/>
  <c r="O31" i="83"/>
  <c r="J60" i="83" s="1"/>
  <c r="F40" i="85"/>
  <c r="G40" i="85"/>
  <c r="I40" i="85"/>
  <c r="K40" i="85"/>
  <c r="C41" i="85"/>
  <c r="J45" i="68"/>
  <c r="L45" i="68" s="1"/>
  <c r="O56" i="68"/>
  <c r="Q56" i="68" s="1"/>
  <c r="J57" i="68"/>
  <c r="L57" i="68" s="1"/>
  <c r="J46" i="68"/>
  <c r="L46" i="68" s="1"/>
  <c r="O54" i="68"/>
  <c r="Q54" i="68" s="1"/>
  <c r="O57" i="68"/>
  <c r="Q57" i="68" s="1"/>
  <c r="O43" i="68"/>
  <c r="Q43" i="68" s="1"/>
  <c r="J44" i="68"/>
  <c r="L44" i="68" s="1"/>
  <c r="L49" i="68" s="1"/>
  <c r="O45" i="68"/>
  <c r="Q45" i="68" s="1"/>
  <c r="O55" i="68"/>
  <c r="Q55" i="68" s="1"/>
  <c r="O44" i="68"/>
  <c r="Q44" i="68" s="1"/>
  <c r="J58" i="68"/>
  <c r="L58" i="68" s="1"/>
  <c r="J47" i="68"/>
  <c r="L47" i="68" s="1"/>
  <c r="J56" i="68"/>
  <c r="L56" i="68" s="1"/>
  <c r="M66" i="66"/>
  <c r="T61" i="66"/>
  <c r="U61" i="66" s="1"/>
  <c r="L48" i="68"/>
  <c r="L59" i="68"/>
  <c r="M29" i="76"/>
  <c r="O28" i="76"/>
  <c r="P28" i="76"/>
  <c r="T36" i="52"/>
  <c r="R41" i="52" s="1"/>
  <c r="R39" i="52"/>
  <c r="Y30" i="36"/>
  <c r="T31" i="36"/>
  <c r="V30" i="36"/>
  <c r="N72" i="34"/>
  <c r="P72" i="34" s="1"/>
  <c r="P71" i="34"/>
  <c r="S73" i="34"/>
  <c r="U73" i="34" s="1"/>
  <c r="R73" i="34"/>
  <c r="G50" i="44"/>
  <c r="G52" i="44" s="1"/>
  <c r="G54" i="44" s="1"/>
  <c r="G55" i="44" s="1"/>
  <c r="U62" i="34"/>
  <c r="J33" i="36"/>
  <c r="K32" i="36"/>
  <c r="L31" i="42"/>
  <c r="M30" i="42"/>
  <c r="L31" i="36"/>
  <c r="O31" i="36"/>
  <c r="N29" i="42"/>
  <c r="Q29" i="42"/>
  <c r="J101" i="48"/>
  <c r="L101" i="48" s="1"/>
  <c r="N101" i="48" s="1"/>
  <c r="L100" i="48"/>
  <c r="N100" i="48" s="1"/>
  <c r="L54" i="6"/>
  <c r="I55" i="6"/>
  <c r="L25" i="6"/>
  <c r="I26" i="6"/>
  <c r="I42" i="6"/>
  <c r="L41" i="6"/>
  <c r="O39" i="83" l="1"/>
  <c r="J56" i="83"/>
  <c r="L59" i="83"/>
  <c r="K68" i="83"/>
  <c r="I41" i="85"/>
  <c r="F41" i="85"/>
  <c r="G41" i="85"/>
  <c r="K41" i="85"/>
  <c r="C42" i="85"/>
  <c r="L58" i="83"/>
  <c r="L60" i="83"/>
  <c r="Q48" i="83"/>
  <c r="Q50" i="83" s="1"/>
  <c r="J79" i="83"/>
  <c r="L79" i="83" s="1"/>
  <c r="L81" i="83" s="1"/>
  <c r="L84" i="83" s="1"/>
  <c r="L87" i="83"/>
  <c r="O29" i="76"/>
  <c r="P29" i="76"/>
  <c r="M30" i="76"/>
  <c r="Q60" i="68"/>
  <c r="L60" i="68"/>
  <c r="Q49" i="68"/>
  <c r="L61" i="66"/>
  <c r="S62" i="66"/>
  <c r="U62" i="66" s="1"/>
  <c r="Q30" i="42"/>
  <c r="N30" i="42"/>
  <c r="T32" i="36"/>
  <c r="Y31" i="36"/>
  <c r="O61" i="36" s="1"/>
  <c r="V31" i="36"/>
  <c r="M31" i="42"/>
  <c r="L32" i="42"/>
  <c r="O60" i="36"/>
  <c r="L32" i="36"/>
  <c r="O32" i="36"/>
  <c r="J34" i="36"/>
  <c r="K33" i="36"/>
  <c r="L42" i="6"/>
  <c r="I43" i="6"/>
  <c r="L26" i="6"/>
  <c r="I27" i="6"/>
  <c r="L55" i="6"/>
  <c r="I56" i="6"/>
  <c r="L56" i="83" l="1"/>
  <c r="L68" i="83" s="1"/>
  <c r="J68" i="83"/>
  <c r="L72" i="83" s="1"/>
  <c r="L75" i="83" s="1"/>
  <c r="C43" i="85"/>
  <c r="F42" i="85"/>
  <c r="K42" i="85"/>
  <c r="G42" i="85"/>
  <c r="I42" i="85"/>
  <c r="R51" i="83"/>
  <c r="Q51" i="83"/>
  <c r="S63" i="66"/>
  <c r="U63" i="66" s="1"/>
  <c r="L63" i="66" s="1"/>
  <c r="L62" i="66"/>
  <c r="P30" i="76"/>
  <c r="O30" i="76"/>
  <c r="N31" i="42"/>
  <c r="Q31" i="42"/>
  <c r="Y32" i="36"/>
  <c r="O62" i="36" s="1"/>
  <c r="T33" i="36"/>
  <c r="V32" i="36"/>
  <c r="L33" i="42"/>
  <c r="M32" i="42"/>
  <c r="O33" i="36"/>
  <c r="L33" i="36"/>
  <c r="J35" i="36"/>
  <c r="K34" i="36"/>
  <c r="I57" i="6"/>
  <c r="L56" i="6"/>
  <c r="L27" i="6"/>
  <c r="I28" i="6"/>
  <c r="L43" i="6"/>
  <c r="I44" i="6"/>
  <c r="L92" i="83" l="1"/>
  <c r="L91" i="83"/>
  <c r="F43" i="85"/>
  <c r="C44" i="85"/>
  <c r="G43" i="85"/>
  <c r="I43" i="85"/>
  <c r="K43" i="85"/>
  <c r="Q32" i="42"/>
  <c r="N32" i="42"/>
  <c r="M33" i="42"/>
  <c r="L34" i="42"/>
  <c r="T34" i="36"/>
  <c r="Y33" i="36"/>
  <c r="O63" i="36" s="1"/>
  <c r="V33" i="36"/>
  <c r="L34" i="36"/>
  <c r="O34" i="36"/>
  <c r="K35" i="36"/>
  <c r="J36" i="36"/>
  <c r="I29" i="6"/>
  <c r="L28" i="6"/>
  <c r="I45" i="6"/>
  <c r="L45" i="6" s="1"/>
  <c r="M46" i="6" s="1"/>
  <c r="L44" i="6"/>
  <c r="L57" i="6"/>
  <c r="I58" i="6"/>
  <c r="I44" i="85" l="1"/>
  <c r="K44" i="85"/>
  <c r="C45" i="85"/>
  <c r="G44" i="85"/>
  <c r="F44" i="85"/>
  <c r="J37" i="36"/>
  <c r="K36" i="36"/>
  <c r="O35" i="36"/>
  <c r="L35" i="36"/>
  <c r="T35" i="36"/>
  <c r="Y34" i="36"/>
  <c r="O64" i="36" s="1"/>
  <c r="V34" i="36"/>
  <c r="M34" i="42"/>
  <c r="L35" i="42"/>
  <c r="N33" i="42"/>
  <c r="Q33" i="42"/>
  <c r="L58" i="6"/>
  <c r="I59" i="6"/>
  <c r="I30" i="6"/>
  <c r="L30" i="6" s="1"/>
  <c r="L29" i="6"/>
  <c r="F45" i="85" l="1"/>
  <c r="G45" i="85"/>
  <c r="I45" i="85"/>
  <c r="K45" i="85"/>
  <c r="C46" i="85"/>
  <c r="Q34" i="42"/>
  <c r="N34" i="42"/>
  <c r="T36" i="36"/>
  <c r="Y35" i="36"/>
  <c r="O65" i="36" s="1"/>
  <c r="V35" i="36"/>
  <c r="L36" i="36"/>
  <c r="O36" i="36"/>
  <c r="M35" i="42"/>
  <c r="L36" i="42"/>
  <c r="K37" i="36"/>
  <c r="J38" i="36"/>
  <c r="M31" i="6"/>
  <c r="L59" i="6"/>
  <c r="I60" i="6"/>
  <c r="L60" i="6" s="1"/>
  <c r="M61" i="6" s="1"/>
  <c r="F46" i="85" l="1"/>
  <c r="K46" i="85"/>
  <c r="G46" i="85"/>
  <c r="I46" i="85"/>
  <c r="C47" i="85"/>
  <c r="J39" i="36"/>
  <c r="K38" i="36"/>
  <c r="L37" i="36"/>
  <c r="O37" i="36"/>
  <c r="N35" i="42"/>
  <c r="Q35" i="42"/>
  <c r="L37" i="42"/>
  <c r="M36" i="42"/>
  <c r="Y36" i="36"/>
  <c r="O66" i="36" s="1"/>
  <c r="T37" i="36"/>
  <c r="V36" i="36"/>
  <c r="G47" i="85" l="1"/>
  <c r="I47" i="85"/>
  <c r="C48" i="85"/>
  <c r="K47" i="85"/>
  <c r="F47" i="85"/>
  <c r="M37" i="42"/>
  <c r="L38" i="42"/>
  <c r="L38" i="36"/>
  <c r="O38" i="36"/>
  <c r="T38" i="36"/>
  <c r="Y37" i="36"/>
  <c r="O67" i="36" s="1"/>
  <c r="V37" i="36"/>
  <c r="Q36" i="42"/>
  <c r="N36" i="42"/>
  <c r="J40" i="36"/>
  <c r="K39" i="36"/>
  <c r="G48" i="85" l="1"/>
  <c r="F48" i="85"/>
  <c r="I48" i="85"/>
  <c r="K48" i="85"/>
  <c r="C49" i="85"/>
  <c r="O39" i="36"/>
  <c r="L39" i="36"/>
  <c r="J41" i="36"/>
  <c r="K41" i="36" s="1"/>
  <c r="K40" i="36"/>
  <c r="Y38" i="36"/>
  <c r="O68" i="36" s="1"/>
  <c r="T39" i="36"/>
  <c r="V38" i="36"/>
  <c r="L39" i="42"/>
  <c r="M38" i="42"/>
  <c r="N37" i="42"/>
  <c r="Q37" i="42"/>
  <c r="K49" i="85" l="1"/>
  <c r="C50" i="85"/>
  <c r="F49" i="85"/>
  <c r="I49" i="85"/>
  <c r="G49" i="85"/>
  <c r="Q38" i="42"/>
  <c r="N38" i="42"/>
  <c r="M39" i="42"/>
  <c r="L40" i="42"/>
  <c r="T40" i="36"/>
  <c r="Y39" i="36"/>
  <c r="O69" i="36" s="1"/>
  <c r="V39" i="36"/>
  <c r="L40" i="36"/>
  <c r="O40" i="36"/>
  <c r="O41" i="36"/>
  <c r="O43" i="36" s="1"/>
  <c r="L41" i="36"/>
  <c r="L43" i="36" s="1"/>
  <c r="O45" i="36" s="1"/>
  <c r="O46" i="36" s="1"/>
  <c r="F50" i="85" l="1"/>
  <c r="G50" i="85"/>
  <c r="I50" i="85"/>
  <c r="C51" i="85"/>
  <c r="K50" i="85"/>
  <c r="T41" i="36"/>
  <c r="Y40" i="36"/>
  <c r="O70" i="36" s="1"/>
  <c r="V40" i="36"/>
  <c r="L41" i="42"/>
  <c r="M40" i="42"/>
  <c r="N39" i="42"/>
  <c r="Q39" i="42"/>
  <c r="G51" i="85" l="1"/>
  <c r="I51" i="85"/>
  <c r="K51" i="85"/>
  <c r="C52" i="85"/>
  <c r="F51" i="85"/>
  <c r="Q40" i="42"/>
  <c r="N40" i="42"/>
  <c r="M41" i="42"/>
  <c r="L42" i="42"/>
  <c r="Y41" i="36"/>
  <c r="V41" i="36"/>
  <c r="V43" i="36" s="1"/>
  <c r="F52" i="85" l="1"/>
  <c r="I52" i="85"/>
  <c r="K52" i="85"/>
  <c r="C53" i="85"/>
  <c r="G52" i="85"/>
  <c r="O71" i="36"/>
  <c r="Y43" i="36"/>
  <c r="N41" i="42"/>
  <c r="Q41" i="42"/>
  <c r="V45" i="36"/>
  <c r="Y45" i="36" s="1"/>
  <c r="M42" i="42"/>
  <c r="L43" i="42"/>
  <c r="I53" i="85" l="1"/>
  <c r="F53" i="85"/>
  <c r="G53" i="85"/>
  <c r="K53" i="85"/>
  <c r="C54" i="85"/>
  <c r="M43" i="42"/>
  <c r="L44" i="42"/>
  <c r="Q42" i="42"/>
  <c r="N42" i="42"/>
  <c r="AB26" i="36"/>
  <c r="AB32" i="36"/>
  <c r="AB38" i="36"/>
  <c r="AB30" i="36"/>
  <c r="AB36" i="36"/>
  <c r="AB28" i="36"/>
  <c r="AB33" i="36"/>
  <c r="AB41" i="36"/>
  <c r="AB35" i="36"/>
  <c r="AB27" i="36"/>
  <c r="AB40" i="36"/>
  <c r="AB37" i="36"/>
  <c r="AB29" i="36"/>
  <c r="AB34" i="36"/>
  <c r="AB31" i="36"/>
  <c r="AB39" i="36"/>
  <c r="C55" i="85" l="1"/>
  <c r="F54" i="85"/>
  <c r="G54" i="85"/>
  <c r="K54" i="85"/>
  <c r="I54" i="85"/>
  <c r="Q71" i="36"/>
  <c r="AC41" i="36"/>
  <c r="AC33" i="36"/>
  <c r="Q63" i="36"/>
  <c r="AC28" i="36"/>
  <c r="Q58" i="36"/>
  <c r="AC36" i="36"/>
  <c r="Q66" i="36"/>
  <c r="AC39" i="36"/>
  <c r="Q69" i="36"/>
  <c r="Q60" i="36"/>
  <c r="AC30" i="36"/>
  <c r="AC31" i="36"/>
  <c r="Q61" i="36"/>
  <c r="Q68" i="36"/>
  <c r="AC38" i="36"/>
  <c r="Q64" i="36"/>
  <c r="AC34" i="36"/>
  <c r="AC32" i="36"/>
  <c r="Q62" i="36"/>
  <c r="Q59" i="36"/>
  <c r="AC29" i="36"/>
  <c r="Q56" i="36"/>
  <c r="AC26" i="36"/>
  <c r="Q70" i="36"/>
  <c r="AC40" i="36"/>
  <c r="AC37" i="36"/>
  <c r="Q67" i="36"/>
  <c r="AC27" i="36"/>
  <c r="Q57" i="36"/>
  <c r="L45" i="42"/>
  <c r="M45" i="42" s="1"/>
  <c r="M44" i="42"/>
  <c r="AC35" i="36"/>
  <c r="Q65" i="36"/>
  <c r="N43" i="42"/>
  <c r="Q43" i="42"/>
  <c r="F55" i="85" l="1"/>
  <c r="G55" i="85"/>
  <c r="I55" i="85"/>
  <c r="K55" i="85"/>
  <c r="C56" i="85"/>
  <c r="S71" i="36"/>
  <c r="T71" i="36"/>
  <c r="S70" i="36"/>
  <c r="T70" i="36"/>
  <c r="AC43" i="36"/>
  <c r="AC45" i="36" s="1"/>
  <c r="AD45" i="36" s="1"/>
  <c r="S56" i="36"/>
  <c r="T56" i="36" s="1"/>
  <c r="S60" i="36"/>
  <c r="T60" i="36" s="1"/>
  <c r="S65" i="36"/>
  <c r="T65" i="36"/>
  <c r="S69" i="36"/>
  <c r="T69" i="36" s="1"/>
  <c r="S59" i="36"/>
  <c r="T59" i="36" s="1"/>
  <c r="Q44" i="42"/>
  <c r="N44" i="42"/>
  <c r="S62" i="36"/>
  <c r="T62" i="36"/>
  <c r="S66" i="36"/>
  <c r="T66" i="36"/>
  <c r="N45" i="42"/>
  <c r="N47" i="42" s="1"/>
  <c r="Q49" i="42" s="1"/>
  <c r="Q50" i="42" s="1"/>
  <c r="Q45" i="42"/>
  <c r="Q47" i="42" s="1"/>
  <c r="S57" i="36"/>
  <c r="T57" i="36" s="1"/>
  <c r="S58" i="36"/>
  <c r="T58" i="36" s="1"/>
  <c r="T64" i="36"/>
  <c r="S64" i="36"/>
  <c r="S67" i="36"/>
  <c r="T67" i="36" s="1"/>
  <c r="T63" i="36"/>
  <c r="S63" i="36"/>
  <c r="S68" i="36"/>
  <c r="T68" i="36" s="1"/>
  <c r="S61" i="36"/>
  <c r="T61" i="36" s="1"/>
  <c r="I56" i="85" l="1"/>
  <c r="K56" i="85"/>
  <c r="C57" i="85"/>
  <c r="G56" i="85"/>
  <c r="F56" i="85"/>
  <c r="T73" i="36"/>
  <c r="T75" i="36" s="1"/>
  <c r="F57" i="85" l="1"/>
  <c r="G57" i="85"/>
  <c r="K57" i="85"/>
  <c r="C58" i="85"/>
  <c r="I57" i="85"/>
  <c r="F58" i="85" l="1"/>
  <c r="K58" i="85"/>
  <c r="G58" i="85"/>
  <c r="I58" i="85"/>
  <c r="C59" i="85"/>
  <c r="G59" i="85" l="1"/>
  <c r="I59" i="85"/>
  <c r="K59" i="85"/>
  <c r="C60" i="85"/>
  <c r="F59" i="85"/>
  <c r="G60" i="85" l="1"/>
  <c r="F60" i="85"/>
  <c r="I60" i="85"/>
  <c r="K60" i="85"/>
  <c r="C61" i="85"/>
  <c r="K61" i="85" l="1"/>
  <c r="C62" i="85"/>
  <c r="F61" i="85"/>
  <c r="I61" i="85"/>
  <c r="G61" i="85"/>
  <c r="F62" i="85" l="1"/>
  <c r="G62" i="85"/>
  <c r="I62" i="85"/>
  <c r="C63" i="85"/>
  <c r="K62" i="85"/>
  <c r="G63" i="85" l="1"/>
  <c r="C64" i="85"/>
  <c r="I63" i="85"/>
  <c r="K63" i="85"/>
  <c r="F63" i="85"/>
  <c r="F64" i="85" l="1"/>
  <c r="I64" i="85"/>
  <c r="K64" i="85"/>
  <c r="C65" i="85"/>
  <c r="G64" i="85"/>
  <c r="I65" i="85" l="1"/>
  <c r="F65" i="85"/>
  <c r="G65" i="85"/>
  <c r="K65" i="85"/>
  <c r="C66" i="85"/>
  <c r="C67" i="85" l="1"/>
  <c r="F66" i="85"/>
  <c r="G66" i="85"/>
  <c r="K66" i="85"/>
  <c r="I66" i="85"/>
  <c r="F67" i="85" l="1"/>
  <c r="G67" i="85"/>
  <c r="I67" i="85"/>
  <c r="K67" i="85"/>
  <c r="C68" i="85"/>
  <c r="I68" i="85" l="1"/>
  <c r="K68" i="85"/>
  <c r="C69" i="85"/>
  <c r="G68" i="85"/>
  <c r="F68" i="85"/>
  <c r="F69" i="85" l="1"/>
  <c r="G69" i="85"/>
  <c r="K69" i="85"/>
  <c r="C70" i="85"/>
  <c r="I69" i="85"/>
  <c r="F70" i="85" l="1"/>
  <c r="K70" i="85"/>
  <c r="G70" i="85"/>
  <c r="I70" i="85"/>
  <c r="C71" i="85"/>
  <c r="G71" i="85" l="1"/>
  <c r="I71" i="85"/>
  <c r="C72" i="85"/>
  <c r="K71" i="85"/>
  <c r="F71" i="85"/>
  <c r="G72" i="85" l="1"/>
  <c r="F72" i="85"/>
  <c r="I72" i="85"/>
  <c r="K72" i="85"/>
  <c r="C73" i="85"/>
  <c r="K73" i="85" l="1"/>
  <c r="C74" i="85"/>
  <c r="I73" i="85"/>
  <c r="F73" i="85"/>
  <c r="G73" i="85"/>
  <c r="I74" i="85" l="1"/>
  <c r="F74" i="85"/>
  <c r="G74" i="85"/>
  <c r="C75" i="85"/>
  <c r="K74" i="85"/>
  <c r="G75" i="85" l="1"/>
  <c r="I75" i="85"/>
  <c r="I77" i="85" s="1"/>
  <c r="J80" i="85" s="1"/>
  <c r="K75" i="85"/>
  <c r="K77" i="85" s="1"/>
  <c r="F75" i="85"/>
  <c r="I87" i="85" l="1"/>
  <c r="I86" i="85"/>
  <c r="I88" i="85" s="1"/>
</calcChain>
</file>

<file path=xl/sharedStrings.xml><?xml version="1.0" encoding="utf-8"?>
<sst xmlns="http://schemas.openxmlformats.org/spreadsheetml/2006/main" count="4454" uniqueCount="1345">
  <si>
    <t>Table Calculations and Formulas</t>
  </si>
  <si>
    <t>Actual to Expected Loss Ratio</t>
  </si>
  <si>
    <t>Group Credibility</t>
  </si>
  <si>
    <t>Assumptions/Parameters</t>
  </si>
  <si>
    <t>part b</t>
  </si>
  <si>
    <t>Lapse Rate</t>
  </si>
  <si>
    <t>Claim Costs per 1,000</t>
  </si>
  <si>
    <t>Age</t>
  </si>
  <si>
    <t>10-year Critical Illness Rating Manual</t>
  </si>
  <si>
    <t>part a</t>
  </si>
  <si>
    <t>Given Table Data</t>
  </si>
  <si>
    <t>Annual Discount Factor</t>
  </si>
  <si>
    <t>Answers</t>
  </si>
  <si>
    <t>Checks</t>
  </si>
  <si>
    <t>Calculations</t>
  </si>
  <si>
    <t xml:space="preserve">Notes or comments </t>
  </si>
  <si>
    <t>Cell color guide</t>
  </si>
  <si>
    <t>Spring 2024 DP #2a-b</t>
  </si>
  <si>
    <t>Rate increase</t>
  </si>
  <si>
    <t>&lt;---- percent of inforce rate</t>
  </si>
  <si>
    <t>The lapse rates of worksite-sold policies can be quite different than their individually sold counterparts. Worksite policy premiums are typically paid through payroll deduction. As a result, employees who terminate employment will lose the established mechanism for paying their policy premiums. To retain the coverage, the employee would need to set up a new method of payment, functionally forcing the employee to reevaluate the need for coverage and revalidate the initial purchase. As these policies are typically issue age rated, the longer the insured has the policy, the more expensive a replacement issue age policy would be at a new employer. As a result of this dynamic, there is some additional turbulence in the lapse rates due to employee turnover.</t>
  </si>
  <si>
    <t>When fewer members lapse, than were expected, costs increases</t>
  </si>
  <si>
    <t>When more members lapse, than were expected, costs decreases</t>
  </si>
  <si>
    <t>&lt;---- APV of claims with less lapse than expected</t>
  </si>
  <si>
    <t>Cost</t>
  </si>
  <si>
    <t>Interest</t>
  </si>
  <si>
    <t>Cont.</t>
  </si>
  <si>
    <t>Lapse</t>
  </si>
  <si>
    <t>Duration</t>
  </si>
  <si>
    <t>Change to Lapse</t>
  </si>
  <si>
    <t>&lt;---- APV of claims with more lapse than expected</t>
  </si>
  <si>
    <t>&lt;---- APV of claims with expected lapse</t>
  </si>
  <si>
    <t>&lt;--- assuming that claims are incurred at the end of the period and lapse take place before the claims are incurred</t>
  </si>
  <si>
    <t>Females 40 and over</t>
  </si>
  <si>
    <t>Females 25-39</t>
  </si>
  <si>
    <t>Females under 25</t>
  </si>
  <si>
    <t>Males 40 and over</t>
  </si>
  <si>
    <t>Males 25-39</t>
  </si>
  <si>
    <t>Males under 25</t>
  </si>
  <si>
    <t>Claims</t>
  </si>
  <si>
    <t>Premiums</t>
  </si>
  <si>
    <t>Age/Gender</t>
  </si>
  <si>
    <t>2019 Experience by Age/Gender (‘000s)</t>
  </si>
  <si>
    <t>Age/Gender Adjustments</t>
  </si>
  <si>
    <t>Southwest</t>
  </si>
  <si>
    <t>West</t>
  </si>
  <si>
    <t>Midwest</t>
  </si>
  <si>
    <t>Southeast</t>
  </si>
  <si>
    <t>Northeast</t>
  </si>
  <si>
    <t>Area</t>
  </si>
  <si>
    <t>2019 Experience by Area (‘000s)</t>
  </si>
  <si>
    <t>Area Adjustments</t>
  </si>
  <si>
    <t>Part c</t>
  </si>
  <si>
    <t>Premium Taxes</t>
  </si>
  <si>
    <t>Administration</t>
  </si>
  <si>
    <t>2019 Experience (‘000s)</t>
  </si>
  <si>
    <t>Risk &amp; Profit</t>
  </si>
  <si>
    <t>Pricing Retention Factors (% of Premium)</t>
  </si>
  <si>
    <t>Part b</t>
  </si>
  <si>
    <t>Prior factors</t>
  </si>
  <si>
    <t>2019 experience</t>
  </si>
  <si>
    <t>Credibly</t>
  </si>
  <si>
    <t>Fall 2020 DP-A #3b-c</t>
  </si>
  <si>
    <t>Expected Premium Increase</t>
  </si>
  <si>
    <t>$200 per unhealthy member</t>
  </si>
  <si>
    <t>$100 per healthy member;</t>
  </si>
  <si>
    <t>Claims Cost PMPM</t>
  </si>
  <si>
    <t>20% unhealthy members</t>
  </si>
  <si>
    <t>80% healthy members;</t>
  </si>
  <si>
    <t>Enrollment</t>
  </si>
  <si>
    <t>Premium PMPM</t>
  </si>
  <si>
    <t>Annual Deductible</t>
  </si>
  <si>
    <t>·        All unhealthy members remain in Plan A</t>
  </si>
  <si>
    <t>·        All healthy members move to Plan B</t>
  </si>
  <si>
    <t>·        Plan B has a $500 annual deductible, which produces expected savings for an average member equal to 5% of premium</t>
  </si>
  <si>
    <t>You are given the following for Plan B:</t>
  </si>
  <si>
    <t>Fall 2021 DP-A #3</t>
  </si>
  <si>
    <t>Manual Rate</t>
  </si>
  <si>
    <t>Policy A Experience Rate</t>
  </si>
  <si>
    <t>Expected Claim Terminations</t>
  </si>
  <si>
    <t>Duration Year</t>
  </si>
  <si>
    <t>Greater Than 120 Months</t>
  </si>
  <si>
    <t>61-120 Months</t>
  </si>
  <si>
    <t>25-60 Months</t>
  </si>
  <si>
    <t>4-24 Months</t>
  </si>
  <si>
    <t>Selected Variance Factor</t>
  </si>
  <si>
    <t>LTD Claim Duration</t>
  </si>
  <si>
    <t>Spring 2021 DP-A #1 b</t>
  </si>
  <si>
    <t>50-100%</t>
  </si>
  <si>
    <t>0-49.9%</t>
  </si>
  <si>
    <t>Claims (‘000s)</t>
  </si>
  <si>
    <t>Premium (‘000s)</t>
  </si>
  <si>
    <t>Employee Participation</t>
  </si>
  <si>
    <t>Employer Subsidy</t>
  </si>
  <si>
    <t>By Contribution/ Participation</t>
  </si>
  <si>
    <t>All other</t>
  </si>
  <si>
    <t>Construction and manufacturing</t>
  </si>
  <si>
    <t>Finance, accounting</t>
  </si>
  <si>
    <t>Retail, sales, marketing</t>
  </si>
  <si>
    <t>Hospitals, home health, doctors</t>
  </si>
  <si>
    <t>Industry</t>
  </si>
  <si>
    <t>By Industry</t>
  </si>
  <si>
    <t>By Area</t>
  </si>
  <si>
    <t>Females 40+</t>
  </si>
  <si>
    <t>75-100</t>
  </si>
  <si>
    <t>Females 25-40</t>
  </si>
  <si>
    <t>50-74</t>
  </si>
  <si>
    <t>Females Under 25</t>
  </si>
  <si>
    <t>20-49</t>
  </si>
  <si>
    <t>Males 40+</t>
  </si>
  <si>
    <t>10-19</t>
  </si>
  <si>
    <t>Males 25-40</t>
  </si>
  <si>
    <t>5-9</t>
  </si>
  <si>
    <t>Group Size</t>
  </si>
  <si>
    <t>Age/ Gender</t>
  </si>
  <si>
    <t>By Group Size</t>
  </si>
  <si>
    <t>Premium taxes</t>
  </si>
  <si>
    <t>Commissions</t>
  </si>
  <si>
    <t>Claim adjudication costs</t>
  </si>
  <si>
    <t>Administration costs</t>
  </si>
  <si>
    <t>Incurred Claims</t>
  </si>
  <si>
    <t>Premiums and Expenses (‘000s)</t>
  </si>
  <si>
    <t>·       Insurer X's 2019 STD experience:</t>
  </si>
  <si>
    <t>Factor</t>
  </si>
  <si>
    <t>Employer Contribution</t>
  </si>
  <si>
    <t>Risks and Profit</t>
  </si>
  <si>
    <t>Claim Adjudication</t>
  </si>
  <si>
    <t>% of Premium</t>
  </si>
  <si>
    <t>Retention</t>
  </si>
  <si>
    <t>·       Insurer X uses the following STD pricing factors:</t>
  </si>
  <si>
    <t>Female</t>
  </si>
  <si>
    <t>Male</t>
  </si>
  <si>
    <t>Gender</t>
  </si>
  <si>
    <t># of Participating EE's</t>
  </si>
  <si>
    <t>MNO is in the manufacturing industry and Northeast region</t>
  </si>
  <si>
    <t>Seven employees participate in the STD plan:</t>
  </si>
  <si>
    <t>MNO has nine eligible employees</t>
  </si>
  <si>
    <t>MNO pays 60% of the STD premium for employees who elect STD coverage</t>
  </si>
  <si>
    <t>Spring 2021 DP-A #7b</t>
  </si>
  <si>
    <t>&lt;40</t>
  </si>
  <si>
    <t>Benefit Level 3 - Female</t>
  </si>
  <si>
    <t>Benefit Level 3 - Male</t>
  </si>
  <si>
    <t>Benefit Level 2 - Female</t>
  </si>
  <si>
    <t>Benefit Level 2 - Male</t>
  </si>
  <si>
    <t>Benefit Level 1 - Female</t>
  </si>
  <si>
    <t>Benefit Level 1 - Male</t>
  </si>
  <si>
    <t>Attained Age</t>
  </si>
  <si>
    <t>Exhibit 3 – Claim Costs per $100 Daily Benefit</t>
  </si>
  <si>
    <t>12 Months</t>
  </si>
  <si>
    <t>Lifetime</t>
  </si>
  <si>
    <t>6 Months</t>
  </si>
  <si>
    <t>5 Years</t>
  </si>
  <si>
    <t>Issue Age</t>
  </si>
  <si>
    <t>Issue Year</t>
  </si>
  <si>
    <t>Daily Benefit</t>
  </si>
  <si>
    <t>Elimination Period</t>
  </si>
  <si>
    <t>Benefit Period</t>
  </si>
  <si>
    <t>Annualized Premium</t>
  </si>
  <si>
    <t>Policy #</t>
  </si>
  <si>
    <t>Exhibit 2 – Policy Data</t>
  </si>
  <si>
    <t>110+</t>
  </si>
  <si>
    <t>105-109</t>
  </si>
  <si>
    <t>100-104</t>
  </si>
  <si>
    <t>95-99</t>
  </si>
  <si>
    <t>90-94</t>
  </si>
  <si>
    <t>85-89</t>
  </si>
  <si>
    <t>80-84</t>
  </si>
  <si>
    <t>75-79</t>
  </si>
  <si>
    <t>70-74</t>
  </si>
  <si>
    <t>65-69</t>
  </si>
  <si>
    <t>60-64</t>
  </si>
  <si>
    <t>&lt;60</t>
  </si>
  <si>
    <t>Mortality rates</t>
  </si>
  <si>
    <t>Attained</t>
  </si>
  <si>
    <t>·         The following mortality rates:</t>
  </si>
  <si>
    <t>·         Deaths and lapses occur at mid-year</t>
  </si>
  <si>
    <t>·         Lapse rate is 1.00% per year</t>
  </si>
  <si>
    <t>·         Discount rate is 3.50% per year</t>
  </si>
  <si>
    <t>·         All premium and claim payments occur at mid-year</t>
  </si>
  <si>
    <t>·         Even numbered policies were issued to males</t>
  </si>
  <si>
    <t xml:space="preserve">·         Odd numbered policies were issued to females </t>
  </si>
  <si>
    <t>·         Exhibits 1 - 3</t>
  </si>
  <si>
    <t>·         Valuations are performed as of 12/31/2020</t>
  </si>
  <si>
    <t>Spring 2021 DP-C #3</t>
  </si>
  <si>
    <t>Adjustment Factor</t>
  </si>
  <si>
    <t>Sex Adjustment Factor</t>
  </si>
  <si>
    <t>Unadjusted Claim Cost per Life</t>
  </si>
  <si>
    <t>Survivors</t>
  </si>
  <si>
    <t>Mortality Rate</t>
  </si>
  <si>
    <t>Policy Year</t>
  </si>
  <si>
    <t>Smoker/ Non-Smoker</t>
  </si>
  <si>
    <t xml:space="preserve">$2,400 annual premium satisfies the 65% loss ratio </t>
  </si>
  <si>
    <t>Active life reserves and investment income are excluded from the calculation</t>
  </si>
  <si>
    <t>Claims are paid in the middle of the policy year</t>
  </si>
  <si>
    <t>Premiums are paid at the beginning of the policy year</t>
  </si>
  <si>
    <t>Discount rate: 5%</t>
  </si>
  <si>
    <t>Fall 2020 DP-C #1d</t>
  </si>
  <si>
    <t>d)</t>
  </si>
  <si>
    <t>Sex Factor Adjustment</t>
  </si>
  <si>
    <t>Unadjusted Claim Cost</t>
  </si>
  <si>
    <t>Mortality Rate per 1,000 Lives</t>
  </si>
  <si>
    <t>c)</t>
  </si>
  <si>
    <t>LMN's target loss ration is 65%</t>
  </si>
  <si>
    <t>Premiums are paid at the start of each year</t>
  </si>
  <si>
    <t>No investment income</t>
  </si>
  <si>
    <t>Discount factor is 5% per year</t>
  </si>
  <si>
    <t>Administrative and tax load is 15% of premium</t>
  </si>
  <si>
    <t>The combined smoker/non-smoker factor for LMN's book of business is -3%</t>
  </si>
  <si>
    <t>Broker commissions are 20% for the first year, 10% for years 2-10, and 0% after year 10</t>
  </si>
  <si>
    <t>Fall 2021 DP-C #3c-d</t>
  </si>
  <si>
    <t>65-66</t>
  </si>
  <si>
    <t>M</t>
  </si>
  <si>
    <t>50-59</t>
  </si>
  <si>
    <t>40-49</t>
  </si>
  <si>
    <t>30-39</t>
  </si>
  <si>
    <t>Under 30</t>
  </si>
  <si>
    <t>F</t>
  </si>
  <si>
    <t>Claim Incident Rate (per 1,000 lives)</t>
  </si>
  <si>
    <t>Sex</t>
  </si>
  <si>
    <t>Elimination Period = 6 Months</t>
  </si>
  <si>
    <t>Elimination Period = 3 Months</t>
  </si>
  <si>
    <t>Exhibit 1 – Claim Incident Rate Table</t>
  </si>
  <si>
    <t>5th year</t>
  </si>
  <si>
    <t>4th year</t>
  </si>
  <si>
    <t>3rd year</t>
  </si>
  <si>
    <t>2nd year</t>
  </si>
  <si>
    <t>1st year</t>
  </si>
  <si>
    <t>Age at Disablement</t>
  </si>
  <si>
    <t>Duration of Disablement after Elimination Period</t>
  </si>
  <si>
    <t>Exhibit 2 Death &amp; Recovery – Males (6-month elimination period)</t>
  </si>
  <si>
    <t>• Benefits are paid at the end of each year of disability</t>
  </si>
  <si>
    <t>• No offsets</t>
  </si>
  <si>
    <t>• Interest rate of 5% per year</t>
  </si>
  <si>
    <t>• 5 year benefit maximum</t>
  </si>
  <si>
    <t>• All employees are 27 year old males</t>
  </si>
  <si>
    <t>• $50,000 annual benefit</t>
  </si>
  <si>
    <t>• 6 month elimination period</t>
  </si>
  <si>
    <t>• Exhibit 2</t>
  </si>
  <si>
    <t>• Exhibit 1</t>
  </si>
  <si>
    <t>Fall 2021 DP-C #4e</t>
  </si>
  <si>
    <t>2021 High risk members</t>
  </si>
  <si>
    <t>2021 Low risk members</t>
  </si>
  <si>
    <t>n/a</t>
  </si>
  <si>
    <t>2020 High risk members</t>
  </si>
  <si>
    <t>2020 Low risk members</t>
  </si>
  <si>
    <t>2020 Annual Premium</t>
  </si>
  <si>
    <t>Plan B</t>
  </si>
  <si>
    <t>Plan A</t>
  </si>
  <si>
    <t xml:space="preserve">2021 Average Annual Premium </t>
  </si>
  <si>
    <t>20% for high-risk members</t>
  </si>
  <si>
    <t>5% for low-risk members</t>
  </si>
  <si>
    <t>Benefit buy-down from 
Plan A to B</t>
  </si>
  <si>
    <t>Annual change in enrollment</t>
  </si>
  <si>
    <t>Annual Lapse</t>
  </si>
  <si>
    <t>Annual Trend</t>
  </si>
  <si>
    <t>2020 loss ratio</t>
  </si>
  <si>
    <t>·         Low-risk members in each plan had 10% lower claim costs than high-risk members.</t>
  </si>
  <si>
    <t>Fall 2022 DP #2c</t>
  </si>
  <si>
    <t>PV Future</t>
  </si>
  <si>
    <t>PV Historical</t>
  </si>
  <si>
    <t>Rate Increase Earned Premium</t>
  </si>
  <si>
    <t>Original Earned Premium</t>
  </si>
  <si>
    <t> ($ Millions)</t>
  </si>
  <si>
    <t>Pricing LR</t>
  </si>
  <si>
    <t>·         The following present value (PV) data:</t>
  </si>
  <si>
    <t>·         Current active life reserve balance is $210M</t>
  </si>
  <si>
    <t>·         20% rate increase was implemented four years ago</t>
  </si>
  <si>
    <t>Fall 2022 DP #6c</t>
  </si>
  <si>
    <t>Year 7</t>
  </si>
  <si>
    <t>Year 6</t>
  </si>
  <si>
    <t>Year 5</t>
  </si>
  <si>
    <t>Year 4</t>
  </si>
  <si>
    <t>Year 3</t>
  </si>
  <si>
    <t>Incident Rate</t>
  </si>
  <si>
    <t>Earned Premium</t>
  </si>
  <si>
    <t>Present Value (PV) of Current Claim Reserve Discounted to the Year of Incurral</t>
  </si>
  <si>
    <t>Present Value (PV) Claims Made to Date Discounted to the Year of Incurral</t>
  </si>
  <si>
    <t>Change in Claim Reserves for all Incurral Years Combined</t>
  </si>
  <si>
    <t>Paid Claims</t>
  </si>
  <si>
    <t>Year</t>
  </si>
  <si>
    <t>·         6-month elimination period</t>
  </si>
  <si>
    <t>·         All members are Males age 40-49</t>
  </si>
  <si>
    <t>·         Exhibit 1</t>
  </si>
  <si>
    <t>Fall 2022 DP #13e</t>
  </si>
  <si>
    <t>Claim Recovery Count</t>
  </si>
  <si>
    <t>Disabled Death Count</t>
  </si>
  <si>
    <t>New Claims Count</t>
  </si>
  <si>
    <t>Active Death Count</t>
  </si>
  <si>
    <t>Voluntary Lapse Count</t>
  </si>
  <si>
    <t>Disabled Exposure</t>
  </si>
  <si>
    <t>Active Exposure</t>
  </si>
  <si>
    <t>Calendar Year</t>
  </si>
  <si>
    <t>Fall 2023 DP #1c</t>
  </si>
  <si>
    <t>Plan Lapse Rate</t>
  </si>
  <si>
    <t>part c</t>
  </si>
  <si>
    <t>Non-Smoker Adjustment Factor</t>
  </si>
  <si>
    <t>Gender Factor Adjustment for Male</t>
  </si>
  <si>
    <t>Mortality Rate per 1,000</t>
  </si>
  <si>
    <t>Claims occur halfway through each year</t>
  </si>
  <si>
    <t>Premiums are paid at the beginning of the year</t>
  </si>
  <si>
    <t>Expected life-time loss ratio of 65%</t>
  </si>
  <si>
    <t xml:space="preserve"> Annual discount factor of 5% </t>
  </si>
  <si>
    <t>Fall 2023 DP #9b-c</t>
  </si>
  <si>
    <t>Part e</t>
  </si>
  <si>
    <t>Year 4 Members</t>
  </si>
  <si>
    <t>Year 3 Members</t>
  </si>
  <si>
    <t>Year 2 Members</t>
  </si>
  <si>
    <t>Exhibit 3 - Gender Factors</t>
  </si>
  <si>
    <t>Area 4</t>
  </si>
  <si>
    <t>Area 3</t>
  </si>
  <si>
    <t>Area 2</t>
  </si>
  <si>
    <t>Area 1</t>
  </si>
  <si>
    <t>Exhibit 2 - Area Factors</t>
  </si>
  <si>
    <t>Year 2</t>
  </si>
  <si>
    <t>Policy Count at EOY</t>
  </si>
  <si>
    <t>Loss Ratio</t>
  </si>
  <si>
    <t>Exhibit 1 – Goldfinger Medicare Supplement Experience: 
1/1/Year 2 – 12/31/Year 4</t>
  </si>
  <si>
    <t>·         Premiums did not change from Year 4 to Year 5</t>
  </si>
  <si>
    <t>·         Goldfinger targets expenses and profit to be 25% of gross premiums</t>
  </si>
  <si>
    <t>Spring 2022 DP #3c,e</t>
  </si>
  <si>
    <t>iqt</t>
  </si>
  <si>
    <t>Average Cost for Unhealthy Lives</t>
  </si>
  <si>
    <t>aqt</t>
  </si>
  <si>
    <t>q(ai)t</t>
  </si>
  <si>
    <t>Actual Claims</t>
  </si>
  <si>
    <t>Average Cost for Healthy Lives</t>
  </si>
  <si>
    <t># of Unhealthy Lives</t>
  </si>
  <si>
    <t># of Healthy Lives</t>
  </si>
  <si>
    <t>Projected</t>
  </si>
  <si>
    <t>Actual</t>
  </si>
  <si>
    <t>·         Claims trend assumption for unhealthy individuals:</t>
  </si>
  <si>
    <t>·         Claims trend assumption for healthy individuals:</t>
  </si>
  <si>
    <t>·         k1</t>
  </si>
  <si>
    <t>·         Involuntary lapse rate: Annual</t>
  </si>
  <si>
    <t>·         Product duration: Years</t>
  </si>
  <si>
    <t>·         Target loss ratio:</t>
  </si>
  <si>
    <t>Spring 2022 DP #8d</t>
  </si>
  <si>
    <t>Females &lt;25</t>
  </si>
  <si>
    <t>Males &lt;25</t>
  </si>
  <si>
    <t>2020 Experience Loss Ratio</t>
  </si>
  <si>
    <t>Current Rating Factors</t>
  </si>
  <si>
    <t>Finance</t>
  </si>
  <si>
    <t>Retail</t>
  </si>
  <si>
    <t>Hospitals</t>
  </si>
  <si>
    <t>Central</t>
  </si>
  <si>
    <t>East</t>
  </si>
  <si>
    <t>3% of premium</t>
  </si>
  <si>
    <t>2% of premium</t>
  </si>
  <si>
    <t>Claims Adjudication</t>
  </si>
  <si>
    <t>10% of premium</t>
  </si>
  <si>
    <t xml:space="preserve">Administration </t>
  </si>
  <si>
    <t>·         Expected number of claims:</t>
  </si>
  <si>
    <t>·         Standard deviation:</t>
  </si>
  <si>
    <t>·         Expected claims:</t>
  </si>
  <si>
    <t xml:space="preserve">·         LTD experience is considered fully credible for ratemaking if observed claims are within 5% of expected claims 95% of the time.  </t>
  </si>
  <si>
    <t>Spring 2022 DP #10b-c</t>
  </si>
  <si>
    <t>20X1 Experience</t>
  </si>
  <si>
    <t>500+</t>
  </si>
  <si>
    <t>101-500</t>
  </si>
  <si>
    <t>51-100</t>
  </si>
  <si>
    <t>26 - 50</t>
  </si>
  <si>
    <t>&lt;=25</t>
  </si>
  <si>
    <t>Number of Employees</t>
  </si>
  <si>
    <t>Prem Taxes</t>
  </si>
  <si>
    <t>Admin (other)</t>
  </si>
  <si>
    <t>Expected Claims Trend</t>
  </si>
  <si>
    <t>Credibility on 20X1 Claims</t>
  </si>
  <si>
    <t>Experience Weight Prior Rating Factors</t>
  </si>
  <si>
    <t>20X3 Rating Assumptions</t>
  </si>
  <si>
    <t>20X2 Premiums</t>
  </si>
  <si>
    <t>Spring 2023 DP #6c</t>
  </si>
  <si>
    <t>Claims (000s)</t>
  </si>
  <si>
    <t>Premium (000s)</t>
  </si>
  <si>
    <t>Premiums and Claims by Employee Participation</t>
  </si>
  <si>
    <t>Employees</t>
  </si>
  <si>
    <t>Premiums and Claims by Group Size</t>
  </si>
  <si>
    <t>Adjudication Costs</t>
  </si>
  <si>
    <t>Admin Costs</t>
  </si>
  <si>
    <t>Premium and Expenses (000s)</t>
  </si>
  <si>
    <t>Credibility weight given to prior rating factors</t>
  </si>
  <si>
    <t>Fall 2024 DP #5c</t>
  </si>
  <si>
    <t>Part e(ii)</t>
  </si>
  <si>
    <t>Industry Cumulative Continuance</t>
  </si>
  <si>
    <t>Claim Terminations</t>
  </si>
  <si>
    <t>Duration Month</t>
  </si>
  <si>
    <t>Claims Termination by Duration and Industry Cumulative Continuance</t>
  </si>
  <si>
    <t>Part e(i)</t>
  </si>
  <si>
    <t>Part d(ii)</t>
  </si>
  <si>
    <t>Part d(i)</t>
  </si>
  <si>
    <t>20X2</t>
  </si>
  <si>
    <t>Skilled Nursing Facility</t>
  </si>
  <si>
    <t>Assisted Living Facility</t>
  </si>
  <si>
    <t>Home Health Care</t>
  </si>
  <si>
    <t>20X1</t>
  </si>
  <si>
    <t>Actual Paid Claims</t>
  </si>
  <si>
    <t>Care Setting</t>
  </si>
  <si>
    <t>Paid Dollars by Year and Care Setting</t>
  </si>
  <si>
    <t>Daily Benefit Amount</t>
  </si>
  <si>
    <t>Actual Daily Benefit Amount</t>
  </si>
  <si>
    <t>Max Annual Paid Claims</t>
  </si>
  <si>
    <t>Max Daily Benefit Amount</t>
  </si>
  <si>
    <t>Pricing Assumptions for Estimated Exposures</t>
  </si>
  <si>
    <t>Days per Week</t>
  </si>
  <si>
    <t>Services Provided</t>
  </si>
  <si>
    <t>Elimination period days</t>
  </si>
  <si>
    <t>Interest rate</t>
  </si>
  <si>
    <t>Initial claim exposure</t>
  </si>
  <si>
    <t>Spring 2024 DP #4c-e</t>
  </si>
  <si>
    <t xml:space="preserve"> 50-100%</t>
  </si>
  <si>
    <t xml:space="preserve"> 0-49.9%</t>
  </si>
  <si>
    <t>EE Part.</t>
  </si>
  <si>
    <t>ER Sub.</t>
  </si>
  <si>
    <t>Contribution/Participation</t>
  </si>
  <si>
    <t>All Other</t>
  </si>
  <si>
    <t>Finance, Accounting, etc.</t>
  </si>
  <si>
    <t>Retail, Sales, Marketing, etc.</t>
  </si>
  <si>
    <t>Healthcare</t>
  </si>
  <si>
    <t>Rating Factors</t>
  </si>
  <si>
    <t>Contribution and Employee Participation</t>
  </si>
  <si>
    <t>Base Rate</t>
  </si>
  <si>
    <t>Weight Given to 20X1 Claims Experience</t>
  </si>
  <si>
    <t>Weight Given to Current Rating Factors</t>
  </si>
  <si>
    <t>Use the weights in the table below when calculating revised factors.</t>
  </si>
  <si>
    <t>Guidance from the Lead Actuary on setting 20X2 rates:</t>
  </si>
  <si>
    <t>Employer premium subsidy</t>
  </si>
  <si>
    <t>Males, age 55</t>
  </si>
  <si>
    <t>Females, age 30</t>
  </si>
  <si>
    <t>Males, age 23</t>
  </si>
  <si>
    <t>Participating Employees</t>
  </si>
  <si>
    <t>Eligible Employees</t>
  </si>
  <si>
    <t>You are given rating factors, experience, and guidance from Lead Actuary on setting 20X2 rates.</t>
  </si>
  <si>
    <t xml:space="preserve">You are pricing a renewal for a high-profile Northeast construction company.  The same employees participate in the plan as the prior year.   </t>
  </si>
  <si>
    <t>part d</t>
  </si>
  <si>
    <t>Inc. Claims</t>
  </si>
  <si>
    <t>Premium and Expenses</t>
  </si>
  <si>
    <t>Target Loss Ratio</t>
  </si>
  <si>
    <t>Spring 2024 DP #5c-d</t>
  </si>
  <si>
    <t>Dental</t>
  </si>
  <si>
    <t>Health</t>
  </si>
  <si>
    <t>LTD</t>
  </si>
  <si>
    <t>Life</t>
  </si>
  <si>
    <t>Salary Change</t>
  </si>
  <si>
    <t>Non-drivers</t>
  </si>
  <si>
    <t>Drivers</t>
  </si>
  <si>
    <t>Benefit</t>
  </si>
  <si>
    <t>Assumptions</t>
  </si>
  <si>
    <t>Employee Premium Cost Share</t>
  </si>
  <si>
    <t>20X1 Total Premiums</t>
  </si>
  <si>
    <t>Spring 2024 DP #8d</t>
  </si>
  <si>
    <t>20X5</t>
  </si>
  <si>
    <t>20X4</t>
  </si>
  <si>
    <t>20X3</t>
  </si>
  <si>
    <t>Skilled Nursing</t>
  </si>
  <si>
    <t>Home Health</t>
  </si>
  <si>
    <t>Assisted Living</t>
  </si>
  <si>
    <t>Open Claims</t>
  </si>
  <si>
    <t>Actual Total Dollars Utilized</t>
  </si>
  <si>
    <t>Maximum Total Dollars Available</t>
  </si>
  <si>
    <t>Actual Days Utilized</t>
  </si>
  <si>
    <t>Maximum Days Available</t>
  </si>
  <si>
    <t>You are given utilization data for the existing block of policies:</t>
  </si>
  <si>
    <t xml:space="preserve">XYZ’s existing block of LTC policies uses an expense reimbursement benefit design. </t>
  </si>
  <si>
    <t>Fall 2024 DP #8b-c</t>
  </si>
  <si>
    <t>Plan C</t>
  </si>
  <si>
    <t>Healthy Member Transitions</t>
  </si>
  <si>
    <t>20X1 to 20X2 Rate Increase</t>
  </si>
  <si>
    <t>part b&amp;c</t>
  </si>
  <si>
    <t>Unhealthy Member Loss Ratio</t>
  </si>
  <si>
    <t>Healthy Member Loss Ratio</t>
  </si>
  <si>
    <t>Unhealthy Member Count</t>
  </si>
  <si>
    <t>Healthy Member Count</t>
  </si>
  <si>
    <t>Deductible</t>
  </si>
  <si>
    <t>Premium (PMPM)</t>
  </si>
  <si>
    <t>Fall 2024 DP #10</t>
  </si>
  <si>
    <t>Cred. weighted area factors</t>
  </si>
  <si>
    <t>Experience Adj. factors</t>
  </si>
  <si>
    <t>Expected LR by area</t>
  </si>
  <si>
    <t>LR by area</t>
  </si>
  <si>
    <t>Current factors</t>
  </si>
  <si>
    <t>Area factor changes</t>
  </si>
  <si>
    <t>No changes</t>
  </si>
  <si>
    <t>&lt;--- No need to adjust any factors since all the LR's by age/gender buckets match exactly with the Block's LR</t>
  </si>
  <si>
    <t>LR by Age/gender</t>
  </si>
  <si>
    <t>Block LR</t>
  </si>
  <si>
    <t>Age/gender factor changes</t>
  </si>
  <si>
    <t>Premium</t>
  </si>
  <si>
    <t>2021 Expected (‘000s)</t>
  </si>
  <si>
    <t>&lt;---- Base rate increase</t>
  </si>
  <si>
    <t>Premium rate increase</t>
  </si>
  <si>
    <t>Actual Premium</t>
  </si>
  <si>
    <t>Needed Premium</t>
  </si>
  <si>
    <t>Pricing TLR</t>
  </si>
  <si>
    <t>Dollar values in ('000s)</t>
  </si>
  <si>
    <t>Base rate increases</t>
  </si>
  <si>
    <t>&lt;---- Keep total retention % the same as prior</t>
  </si>
  <si>
    <t>Total retention</t>
  </si>
  <si>
    <t>&lt;--- Back into this value to hold a 80% TLR</t>
  </si>
  <si>
    <t>&lt;---- Use the actual experience to adjust the admin assumption</t>
  </si>
  <si>
    <t>&lt;--- Actual profit was $700,000 larger than expected in 2019</t>
  </si>
  <si>
    <t>Profit</t>
  </si>
  <si>
    <t>Actual - Expected</t>
  </si>
  <si>
    <t>Expected</t>
  </si>
  <si>
    <t>&lt;--- Premium leakage</t>
  </si>
  <si>
    <t>&lt;--- Expected pure premium after buy down</t>
  </si>
  <si>
    <t>Buy-down</t>
  </si>
  <si>
    <t>Unhealth</t>
  </si>
  <si>
    <t>Keep plan A</t>
  </si>
  <si>
    <t>Expected claims</t>
  </si>
  <si>
    <t>Status</t>
  </si>
  <si>
    <t>Information after buy-down (after migration)</t>
  </si>
  <si>
    <t>Claim cost</t>
  </si>
  <si>
    <t>Cost Relativity</t>
  </si>
  <si>
    <t>Information prior to migration</t>
  </si>
  <si>
    <t>&lt;--- Buy-down effect</t>
  </si>
  <si>
    <t>&lt;---  Actual pure premium after buy down</t>
  </si>
  <si>
    <t>&lt;----- Premium on the buy-down plan with the needed increase</t>
  </si>
  <si>
    <t xml:space="preserve">&lt;--- Actual pure premium before buy-down </t>
  </si>
  <si>
    <t>Reserve</t>
  </si>
  <si>
    <t>Credability</t>
  </si>
  <si>
    <t>Expected number of terms needed for full credibility</t>
  </si>
  <si>
    <t>&lt;---- under the assumption that the 7.1% rate increase is not going to be applied (it says so in the body of the question)</t>
  </si>
  <si>
    <t>Group's increase</t>
  </si>
  <si>
    <t>Total</t>
  </si>
  <si>
    <t>Group size</t>
  </si>
  <si>
    <t>Contribution/ Participation</t>
  </si>
  <si>
    <t>Group's rate adjustment</t>
  </si>
  <si>
    <t>Rating factor</t>
  </si>
  <si>
    <t>Final adjustment to the group for each rating factor</t>
  </si>
  <si>
    <t>EE Participation</t>
  </si>
  <si>
    <t>ER Subsidy</t>
  </si>
  <si>
    <t>new rating factor</t>
  </si>
  <si>
    <t xml:space="preserve"> factor</t>
  </si>
  <si>
    <t>(Block level)</t>
  </si>
  <si>
    <t xml:space="preserve">Cred weighted </t>
  </si>
  <si>
    <t>New rating</t>
  </si>
  <si>
    <t xml:space="preserve">Adj. factor </t>
  </si>
  <si>
    <t xml:space="preserve">LR by </t>
  </si>
  <si>
    <t xml:space="preserve">Current </t>
  </si>
  <si>
    <t>Increase for group by rating factor changes</t>
  </si>
  <si>
    <t>Required base rate increase</t>
  </si>
  <si>
    <t>Actual LR for the block of business</t>
  </si>
  <si>
    <t>if the problem does not give a credibility assumption (like in this question) just make up an assumption</t>
  </si>
  <si>
    <t>TLR</t>
  </si>
  <si>
    <t>&lt;---- the source material uses a 33% factor in their example</t>
  </si>
  <si>
    <t>Credibility assumption</t>
  </si>
  <si>
    <t>Base rate increase</t>
  </si>
  <si>
    <t>LR</t>
  </si>
  <si>
    <t>Prem</t>
  </si>
  <si>
    <t>v(t)</t>
  </si>
  <si>
    <t>Cont. factor</t>
  </si>
  <si>
    <t>Mortality</t>
  </si>
  <si>
    <t>Policy 10</t>
  </si>
  <si>
    <t>Policy 9</t>
  </si>
  <si>
    <t>Lapses and deaths occur prior to premium and claims.  All occur at mid-year.</t>
  </si>
  <si>
    <t>The claim cost given in exhibit 3 are annual</t>
  </si>
  <si>
    <t>Implied assumptions</t>
  </si>
  <si>
    <t>Benefit Level</t>
  </si>
  <si>
    <t>Claims factor</t>
  </si>
  <si>
    <t>Policy</t>
  </si>
  <si>
    <t>&lt;--- The 3rd year LR meets the 65% LR standard</t>
  </si>
  <si>
    <t>3rd year LR</t>
  </si>
  <si>
    <t>&lt;--- Lifetime and future LR's are the same in this case and both meet the 65% LR standard</t>
  </si>
  <si>
    <t>Claims Disc</t>
  </si>
  <si>
    <t>Prem Disc</t>
  </si>
  <si>
    <t>PV</t>
  </si>
  <si>
    <t>PV years</t>
  </si>
  <si>
    <t>Each years claims are incurred before any lapse occur that year</t>
  </si>
  <si>
    <t>Each years premium is collected before any lapse occur that year</t>
  </si>
  <si>
    <t>All lapses happen at end of year</t>
  </si>
  <si>
    <t>Gains are at YE and are discounted as such</t>
  </si>
  <si>
    <t>Assumes</t>
  </si>
  <si>
    <t>&lt;----- Profit margin</t>
  </si>
  <si>
    <t>Gains as % of pricing premium</t>
  </si>
  <si>
    <t>PV of gains per issue member</t>
  </si>
  <si>
    <t>Gains at YE</t>
  </si>
  <si>
    <t>Int. Factor</t>
  </si>
  <si>
    <t>Admin &amp; Tax</t>
  </si>
  <si>
    <t>Premiums collected at beginning of year</t>
  </si>
  <si>
    <t>Claims happen at mid year</t>
  </si>
  <si>
    <t>&lt;------ Premium PMPY</t>
  </si>
  <si>
    <t>LR Check</t>
  </si>
  <si>
    <t>Prem PMPY</t>
  </si>
  <si>
    <t>Total Prem Per Original Issue Member</t>
  </si>
  <si>
    <t>&lt;------ APV Net Prem PMPY</t>
  </si>
  <si>
    <t>APV of Prem Factor</t>
  </si>
  <si>
    <t>Total Claims Per Original Issue Member</t>
  </si>
  <si>
    <t>&lt;------ APV of Prem Factor</t>
  </si>
  <si>
    <t>&lt;------ APV Claims</t>
  </si>
  <si>
    <t>APV Prem</t>
  </si>
  <si>
    <t>PV Prem Factor</t>
  </si>
  <si>
    <t>APV Claims</t>
  </si>
  <si>
    <t>Adj. Claims</t>
  </si>
  <si>
    <t>PV Claims Factor</t>
  </si>
  <si>
    <t>Working the problem on a per original issue member basis</t>
  </si>
  <si>
    <t>&lt;--- or ---&gt;</t>
  </si>
  <si>
    <t>Working the problem on a aggregate basis</t>
  </si>
  <si>
    <t>Monthly net manual premium</t>
  </si>
  <si>
    <t>Annual Incidence Rate for males under 30, with 6-month elimination period</t>
  </si>
  <si>
    <t>APV of benefits</t>
  </si>
  <si>
    <t>Cont</t>
  </si>
  <si>
    <t>Int</t>
  </si>
  <si>
    <t>Assume that the incidence rate accounts for the probability of the member still being benefit eligible at the end of the EP</t>
  </si>
  <si>
    <t>&lt;---- In aggregate</t>
  </si>
  <si>
    <t>&lt;---- total lost premium dollars PMPY due to benefit buy-down</t>
  </si>
  <si>
    <t>&lt;----- Under the assumption that this is the actual premium we are getting after a rate increase and member chose new plans</t>
  </si>
  <si>
    <t>&lt;----- needed premium to cover the extra claims driven by anti selective buy-down</t>
  </si>
  <si>
    <t>Built up 2021 premium with new plan options and after anti selective buy-down</t>
  </si>
  <si>
    <t>anticipated LR for 2021</t>
  </si>
  <si>
    <t>expected 2021 claims</t>
  </si>
  <si>
    <t>claims trend factor to projection period</t>
  </si>
  <si>
    <t>average 2020 claims</t>
  </si>
  <si>
    <t>Project claims to the rating period and build up to a 2021 premium</t>
  </si>
  <si>
    <t>&lt;----- average of the claims costs balances back to the above calc. claims cost</t>
  </si>
  <si>
    <t xml:space="preserve">&lt;---- total average expected claims cost on a 2020 basis after anti selection </t>
  </si>
  <si>
    <t>High risk</t>
  </si>
  <si>
    <t>Low risk</t>
  </si>
  <si>
    <t>Pure Prem Plan B</t>
  </si>
  <si>
    <t>Claims Cost Plan A</t>
  </si>
  <si>
    <t>2020 Annual Claims</t>
  </si>
  <si>
    <t>Impact on claims cost from internal anti selection after members migrate to new plan options</t>
  </si>
  <si>
    <t>Current Enrollment</t>
  </si>
  <si>
    <t>Migration assumptions</t>
  </si>
  <si>
    <t>Check</t>
  </si>
  <si>
    <t>&lt;---- max allowed increase</t>
  </si>
  <si>
    <t>&lt;---- lifetime claims</t>
  </si>
  <si>
    <t>&lt;----- all future premium for which a rate increase would be applied to, a calculated increase X% will be multiplied to this value such that the sum product of the LR and Prem columns is equal to the lifetime claims</t>
  </si>
  <si>
    <t>Prem dollars that were not original premium get this LR -----&gt;</t>
  </si>
  <si>
    <t>&lt; ----- all additional premium collected from any past rate increases</t>
  </si>
  <si>
    <t>&lt;---- this is the original life time premium</t>
  </si>
  <si>
    <t>Via the 2014 NAIC LTC Model Reg. this LR is the greater the original pricing LR or 58% -----&gt;</t>
  </si>
  <si>
    <t>"LR"</t>
  </si>
  <si>
    <t>Inc. Prem</t>
  </si>
  <si>
    <t>Org Prem</t>
  </si>
  <si>
    <t>A-to-E</t>
  </si>
  <si>
    <t>Inc LR</t>
  </si>
  <si>
    <t>CY LR</t>
  </si>
  <si>
    <t>Reserves</t>
  </si>
  <si>
    <t>Incurred</t>
  </si>
  <si>
    <t>Chng. Res</t>
  </si>
  <si>
    <t>Paids</t>
  </si>
  <si>
    <t>(iii)</t>
  </si>
  <si>
    <t>(ii)</t>
  </si>
  <si>
    <t>(i)</t>
  </si>
  <si>
    <t>Parts</t>
  </si>
  <si>
    <t>Claim incidence rate</t>
  </si>
  <si>
    <t>Disabled mortality rate</t>
  </si>
  <si>
    <t>Active mortality rate</t>
  </si>
  <si>
    <t>Lapse rate</t>
  </si>
  <si>
    <t>Lapse count</t>
  </si>
  <si>
    <t>Total exposure</t>
  </si>
  <si>
    <t>Unadj claim cost</t>
  </si>
  <si>
    <t>Difference</t>
  </si>
  <si>
    <t>Originally Projected</t>
  </si>
  <si>
    <t>&lt;------ APV Claims PMPY</t>
  </si>
  <si>
    <t>&lt;--- rate increase applied to Year 4 prem</t>
  </si>
  <si>
    <t>&lt;---- Required premium</t>
  </si>
  <si>
    <t>Projected to Yr 6</t>
  </si>
  <si>
    <t>Claims PMPY</t>
  </si>
  <si>
    <t>Policies or Members</t>
  </si>
  <si>
    <t>Trend assumption</t>
  </si>
  <si>
    <t>Two year trend annualized</t>
  </si>
  <si>
    <t>Annual trend</t>
  </si>
  <si>
    <t>Norm. Claims PMPY</t>
  </si>
  <si>
    <t>Avg Gen. factors</t>
  </si>
  <si>
    <t>Avg Area Factor</t>
  </si>
  <si>
    <t>&lt;---- claims PMPY are grossed up by the LR to calculate the premium</t>
  </si>
  <si>
    <t>Gross Prem PMPY</t>
  </si>
  <si>
    <t>&lt;---- this is the APV of claims per inforce member over the full duration of the contract</t>
  </si>
  <si>
    <t>&lt;---- The probability of lapsing for the unhealthy lives</t>
  </si>
  <si>
    <t>&lt;---- The probability of lapsing for the healthy lives</t>
  </si>
  <si>
    <t>&lt;---- This is a transition probability. The probability of one healthy life becoming unhealthy</t>
  </si>
  <si>
    <t>factors</t>
  </si>
  <si>
    <t>Weight</t>
  </si>
  <si>
    <t>New blended</t>
  </si>
  <si>
    <t>Adj.</t>
  </si>
  <si>
    <t>Overall</t>
  </si>
  <si>
    <t>Experience</t>
  </si>
  <si>
    <t>Current</t>
  </si>
  <si>
    <t>over all LR</t>
  </si>
  <si>
    <t>weight</t>
  </si>
  <si>
    <t>Cred</t>
  </si>
  <si>
    <t xml:space="preserve">The minimum number of claims required for full credibility </t>
  </si>
  <si>
    <t>% increase</t>
  </si>
  <si>
    <t>Rate change factor</t>
  </si>
  <si>
    <t>Blend</t>
  </si>
  <si>
    <t>Exper.</t>
  </si>
  <si>
    <t>Manual</t>
  </si>
  <si>
    <t>Increase factor</t>
  </si>
  <si>
    <t>?</t>
  </si>
  <si>
    <t>Required Prem</t>
  </si>
  <si>
    <t>Prior Prem.</t>
  </si>
  <si>
    <t>Trend for 2 years</t>
  </si>
  <si>
    <t>Expenses</t>
  </si>
  <si>
    <t>Factors</t>
  </si>
  <si>
    <t>Prem build up</t>
  </si>
  <si>
    <t>Increase</t>
  </si>
  <si>
    <t>&lt;---- credibility given to the experience</t>
  </si>
  <si>
    <t>Block level LR</t>
  </si>
  <si>
    <t>Given the low claims and termination counts, the credibility of actual experience is low.  Experience should be monitored closely to see if this pattern continues or if results come closer to expected over time.</t>
  </si>
  <si>
    <t>The actual to expected analysis shows that GHI's claims terminations in durations 1-4 were favorable (&gt;100%) while later durations 5-7 were unfavorable compared to the industry.</t>
  </si>
  <si>
    <t>A:E Ratio</t>
  </si>
  <si>
    <t>Expected Claim Termination Rate</t>
  </si>
  <si>
    <t>Actual Claim Termination Rate</t>
  </si>
  <si>
    <t>Claim Exposure</t>
  </si>
  <si>
    <t>Calculation of actual to expected ratios</t>
  </si>
  <si>
    <t>Claim Termination</t>
  </si>
  <si>
    <t>Monthly Continuance</t>
  </si>
  <si>
    <t>Cumulative Continuance</t>
  </si>
  <si>
    <t>Calculation of expected claim termination rates</t>
  </si>
  <si>
    <t>Other answers are acceptable if consistent with the A/E analysis and logically sound.</t>
  </si>
  <si>
    <t>For example, why was assisted living favorable (99.1%) while home health care was substantially unfavorable?</t>
  </si>
  <si>
    <t xml:space="preserve">The result may support an adjustment to pricing assumptions, although a deep dive into variance by care setting is warranted. </t>
  </si>
  <si>
    <t>The actual to expected ratio of 102.3% indicates that the aggregate utilization is emerging higher (unfavorable) to expectations.</t>
  </si>
  <si>
    <t>Expected Utilization Rate</t>
  </si>
  <si>
    <t>Actual Utilization Rate</t>
  </si>
  <si>
    <t>A:E Analysis</t>
  </si>
  <si>
    <t>Maximum Paid</t>
  </si>
  <si>
    <t>Actual Paid</t>
  </si>
  <si>
    <t>Actual Utilization Rate = Actual Paid/Maximum Paid</t>
  </si>
  <si>
    <t>Expected Paid</t>
  </si>
  <si>
    <t>Note that quoting Expected Utilization from (c) is sufficient to answer the question. Backing into Expected Paid is not necessary to earn full credit. It is only provided for reference.</t>
  </si>
  <si>
    <t>Expected Utilization Rate = Expected Paid/Maximum Paid (same as Total Utilization Rate calculated in (c))</t>
  </si>
  <si>
    <t>Alternative solution using Actual Utilization Rates:</t>
  </si>
  <si>
    <t>Total Utilization Rate = Dollars Utilization Rate * Days Utilization</t>
  </si>
  <si>
    <t>Dollars Utilization rate = Actual Daily Benefit/Max Daily Benefit</t>
  </si>
  <si>
    <t>Total Util</t>
  </si>
  <si>
    <t>Day Util</t>
  </si>
  <si>
    <t>Dollar Util</t>
  </si>
  <si>
    <t>Expected Utilization Rates:</t>
  </si>
  <si>
    <t>Con./Par.</t>
  </si>
  <si>
    <t>&lt;---- this change factor is 1.000 since 0% credibility is given to the experience and there are no changes for the group</t>
  </si>
  <si>
    <t>A/G</t>
  </si>
  <si>
    <t>Ind.</t>
  </si>
  <si>
    <t>&lt;---- Guidance is to give 100% credibility to the retention thus the experienced retention percentages are included in the premium buildup, along with the desired 5% risk &amp; profit</t>
  </si>
  <si>
    <t>&lt;---- Guidance is to give 100% credibility to the base rate thus the experienced claims are included in the premium</t>
  </si>
  <si>
    <t>Base</t>
  </si>
  <si>
    <t>Inc. Fac</t>
  </si>
  <si>
    <t>Incurred claims exceeded the target (given collected premiums) by $900,000, so premiums will have to be increased to meet the 70% loss ratio that is desired.</t>
  </si>
  <si>
    <t>We also significantly missed on administrative costs, which was an even larger impact than claims. The company should either consider cost reduction efforts (staff/consultants) or increasing assumptions (premiums) to account for this variance.</t>
  </si>
  <si>
    <t>Other Administration</t>
  </si>
  <si>
    <t>Commissions and premium tax assumptions were perfectly met, which is not surprising since they are designed as a fixed percentage of premiums.</t>
  </si>
  <si>
    <t>The issues are only slightly offset by lower than expected claims adjudication expenses.</t>
  </si>
  <si>
    <t>Claim Adjudication Costs</t>
  </si>
  <si>
    <t>We priced a 5% profit load but experienced a loss of 10.2%.  This means one or more of our assumptions was worse than expected.</t>
  </si>
  <si>
    <t>Experienced loss ratio is unfavorable to pricing by 7.5%.</t>
  </si>
  <si>
    <t>Difference formula determined such that negative values indicate unfavorable experience and positive values indicate favorable experience</t>
  </si>
  <si>
    <t>Pricing</t>
  </si>
  <si>
    <t>Assumption</t>
  </si>
  <si>
    <t>Health/Dental</t>
  </si>
  <si>
    <t>Change in plan cost</t>
  </si>
  <si>
    <t>&lt;------ Assume trends apply to both drivers and non-drivers premiums</t>
  </si>
  <si>
    <t>20X2 Plan Cost</t>
  </si>
  <si>
    <t>20X2 Total Premiums</t>
  </si>
  <si>
    <t>20X1 Plan Cost</t>
  </si>
  <si>
    <t>Difference from Current</t>
  </si>
  <si>
    <t>Dollars used under Cash / Disability Model</t>
  </si>
  <si>
    <t>Cash / disability pays the full maximum daily limit for all days where the policyholder is claim eligible, regardless of whether services are received.</t>
  </si>
  <si>
    <t>Dollars used under Indemnity</t>
  </si>
  <si>
    <t>Days Utilization (from part b(i) above)</t>
  </si>
  <si>
    <t xml:space="preserve">Indemnity pays full maximum daily limit for all days services are received.  </t>
  </si>
  <si>
    <t>Skilled nursing</t>
  </si>
  <si>
    <t>Home health</t>
  </si>
  <si>
    <t>Assisted living</t>
  </si>
  <si>
    <t>Dollars utilization</t>
  </si>
  <si>
    <t>Days utilization</t>
  </si>
  <si>
    <t xml:space="preserve">In addition, 20X3 to 20X5 had more additional claims which should  lead to higher credibility of the values. </t>
  </si>
  <si>
    <t>These consider the utilization from the past 3 years instead of the past 5 years which should help consider some of the most recent trends in utilization</t>
  </si>
  <si>
    <t xml:space="preserve">I would recommend the following assumptions for projecting XYZ's existing LTC block. </t>
  </si>
  <si>
    <t>Dollars utilization = Total utilization/days utilization</t>
  </si>
  <si>
    <t>Back into the Dollars utilization since (Dollars utilization * Days utilization = Total utilization)</t>
  </si>
  <si>
    <t>Total utilization = Actual total dollars utilized/Maximum total dollars available</t>
  </si>
  <si>
    <t>Days utilization = Actual days utilized/maximum days utilized</t>
  </si>
  <si>
    <t xml:space="preserve">&lt;------ the premium leakage is the increased claim cost that is not expected to be covered by the bought down premium  </t>
  </si>
  <si>
    <t>&lt;------ the decrease in claim cost from benefit buy-down</t>
  </si>
  <si>
    <t>(c)</t>
  </si>
  <si>
    <t>&lt;----- the decrease in premium collected from premium buy-down</t>
  </si>
  <si>
    <t>(b)</t>
  </si>
  <si>
    <t>Part</t>
  </si>
  <si>
    <t>Prem Leak</t>
  </si>
  <si>
    <t>Buydown</t>
  </si>
  <si>
    <t>&lt;---- After benefit plan transitions</t>
  </si>
  <si>
    <t>C</t>
  </si>
  <si>
    <t>20X2 PMPMs</t>
  </si>
  <si>
    <t>B</t>
  </si>
  <si>
    <t>A</t>
  </si>
  <si>
    <t>20X2
w/ Mem
Migration</t>
  </si>
  <si>
    <t>&lt;---- Before benefit plan transitions</t>
  </si>
  <si>
    <t>20X2
w/o Mem
Migration</t>
  </si>
  <si>
    <t>20X1 PMPMs</t>
  </si>
  <si>
    <t>Mems</t>
  </si>
  <si>
    <t>Plan</t>
  </si>
  <si>
    <t>Unhealthy</t>
  </si>
  <si>
    <t>Healthy</t>
  </si>
  <si>
    <t>3/1/20X1</t>
  </si>
  <si>
    <t>Monthly</t>
  </si>
  <si>
    <t>#008</t>
  </si>
  <si>
    <t>$3,000 Asset</t>
  </si>
  <si>
    <t>7/1/20X1</t>
  </si>
  <si>
    <t>Quarterly</t>
  </si>
  <si>
    <t>#007</t>
  </si>
  <si>
    <t>$1,000 Asset</t>
  </si>
  <si>
    <t>9/1/20X1</t>
  </si>
  <si>
    <t>#006</t>
  </si>
  <si>
    <t>1/1/20X1</t>
  </si>
  <si>
    <t>Annual</t>
  </si>
  <si>
    <t>#005</t>
  </si>
  <si>
    <t>Premium Reserve Account Type</t>
  </si>
  <si>
    <t>Premium Liability / Asset</t>
  </si>
  <si>
    <t>Premium Received as of Valuation Date</t>
  </si>
  <si>
    <t>Valuation Date</t>
  </si>
  <si>
    <t>Policy Effective Date</t>
  </si>
  <si>
    <t>Total Annual Premium</t>
  </si>
  <si>
    <t>Premium Mode</t>
  </si>
  <si>
    <t>Policy Number</t>
  </si>
  <si>
    <t>Assume all modal premiums are fully earned once the modal period has begun</t>
  </si>
  <si>
    <t>#004</t>
  </si>
  <si>
    <t>#003</t>
  </si>
  <si>
    <t>#002</t>
  </si>
  <si>
    <t>6/1/20X1</t>
  </si>
  <si>
    <t>Single Premium</t>
  </si>
  <si>
    <t>#001</t>
  </si>
  <si>
    <t>Gross Unearned Premium</t>
  </si>
  <si>
    <t>Premium Amount</t>
  </si>
  <si>
    <t>Date Premium Last Paid</t>
  </si>
  <si>
    <t>Fall 2023 VR #3b-c</t>
  </si>
  <si>
    <t>D</t>
  </si>
  <si>
    <t>E</t>
  </si>
  <si>
    <t>Net Level Premium</t>
  </si>
  <si>
    <t>Net Level Premium Policy Reserve</t>
  </si>
  <si>
    <t>Per Policy Claims</t>
  </si>
  <si>
    <t>Policies In Force</t>
  </si>
  <si>
    <t>You are provided the following information for a group of 1,000 policies written on 1/1/20X1:</t>
  </si>
  <si>
    <t>o     Interest rate is 5% per year</t>
  </si>
  <si>
    <t>o     Reserves are calculated as of the end of the year</t>
  </si>
  <si>
    <t>o     Lapses occur at the end of the year</t>
  </si>
  <si>
    <t>o     Claims are paid in the middle of the year</t>
  </si>
  <si>
    <t>o     Premiums are paid at the beginning of the year</t>
  </si>
  <si>
    <t>o     Policies in force are as of the end of the year</t>
  </si>
  <si>
    <t>Assume the following:</t>
  </si>
  <si>
    <t>Fall 2023 VR #4a,b</t>
  </si>
  <si>
    <t>Age 60 at claim</t>
  </si>
  <si>
    <t>Age 50 at claim</t>
  </si>
  <si>
    <t>(in months)</t>
  </si>
  <si>
    <t>Number of Disabled Individuals by Claim Duration</t>
  </si>
  <si>
    <t>Claim Duration</t>
  </si>
  <si>
    <t>required max res</t>
  </si>
  <si>
    <t>interest rate</t>
  </si>
  <si>
    <t>·         60-year-old with an annual salary of $96,000</t>
  </si>
  <si>
    <t>·         50-year-old with an annual salary of $72,000</t>
  </si>
  <si>
    <t>Spring 2021 FV-A #3b</t>
  </si>
  <si>
    <t xml:space="preserve">Annual Claims </t>
  </si>
  <si>
    <t>Mortality at Year (t)</t>
  </si>
  <si>
    <t>Year (t)</t>
  </si>
  <si>
    <t>·       Net level premiums are paid at the start of the year</t>
  </si>
  <si>
    <t>·       Interest rate is 0%</t>
  </si>
  <si>
    <t>·       All claims, deaths, and lapses occur at the end of the year</t>
  </si>
  <si>
    <t>·       Annual lapse rate is 5%</t>
  </si>
  <si>
    <t>Spring 2023 VR #2a</t>
  </si>
  <si>
    <t>Duration (Months)</t>
  </si>
  <si>
    <t>Occupation Period, 5.0% Discount Rate</t>
  </si>
  <si>
    <t>Six Month Elimination Period, 24 Month Own</t>
  </si>
  <si>
    <t>Reserves per $1 Benefit, No Diagnosis,</t>
  </si>
  <si>
    <t>Three Month Elimination Period, 24 Month Own</t>
  </si>
  <si>
    <t>$2,000 Indexed Gross Monthly Benefit to Age 65,</t>
  </si>
  <si>
    <t>Table 2 - Claim Reserve Factors</t>
  </si>
  <si>
    <t>Table 1 - Claim Reserve Factors</t>
  </si>
  <si>
    <t>Five-year prepaid</t>
  </si>
  <si>
    <t>Active</t>
  </si>
  <si>
    <t>3 months</t>
  </si>
  <si>
    <t>Disabled</t>
  </si>
  <si>
    <t>6 months</t>
  </si>
  <si>
    <t>Gross Monthly Benefit</t>
  </si>
  <si>
    <t>Gross Monthly Premium</t>
  </si>
  <si>
    <t>Months Disabled</t>
  </si>
  <si>
    <t>Policy Start Date</t>
  </si>
  <si>
    <t>Reserves per $1 Benefit</t>
  </si>
  <si>
    <t xml:space="preserve">·       Premiums are due at the beginning of the month </t>
  </si>
  <si>
    <t>·       Coverage includes waiver of premium upon disability</t>
  </si>
  <si>
    <t>Spring 2023 VR #7e</t>
  </si>
  <si>
    <t>Annual interest rate</t>
  </si>
  <si>
    <t>Non-claims expenses</t>
  </si>
  <si>
    <t>Annual claims trend for years 2+</t>
  </si>
  <si>
    <t>Claims in year 1, in millions</t>
  </si>
  <si>
    <t>Persistency for years 9+</t>
  </si>
  <si>
    <t xml:space="preserve">Persistency for years 2-8 </t>
  </si>
  <si>
    <t>Persistency for year 1</t>
  </si>
  <si>
    <t>·       Claims occur at the end of each year</t>
  </si>
  <si>
    <t>·       Lapses occur at the midpoint of each year</t>
  </si>
  <si>
    <t>·       Premiums are paid at the beginning of each year</t>
  </si>
  <si>
    <t>·       Policies are in force for eight years</t>
  </si>
  <si>
    <t>·       The policies charge a net level premium</t>
  </si>
  <si>
    <t>Additionally, TRT issues a new block of 10,000 individual policies. Assume the following:</t>
  </si>
  <si>
    <t>Spring 2024 VR #5b</t>
  </si>
  <si>
    <t>1-4</t>
  </si>
  <si>
    <t>Pending Factor</t>
  </si>
  <si>
    <t>Durations</t>
  </si>
  <si>
    <t>Part d</t>
  </si>
  <si>
    <t>Age at claim</t>
  </si>
  <si>
    <t>Claim duration (months)</t>
  </si>
  <si>
    <t>Benefit Payment Timing</t>
  </si>
  <si>
    <t>Middle Of The Month</t>
  </si>
  <si>
    <t>Benefits are paid in the middle of the month</t>
  </si>
  <si>
    <t>Benefit Ends At Age</t>
  </si>
  <si>
    <t>Number Of Months In Elimination Period</t>
  </si>
  <si>
    <t>Annual Interest Rate</t>
  </si>
  <si>
    <t>Monthly Benefit</t>
  </si>
  <si>
    <t>Monthly benefit: $1,000</t>
  </si>
  <si>
    <t>Member Disabled Since</t>
  </si>
  <si>
    <t>Date Of Birth</t>
  </si>
  <si>
    <t>Fall 2022 FV #3b,d-e</t>
  </si>
  <si>
    <t>part a (ii)</t>
  </si>
  <si>
    <t>Age 40 at Claim</t>
  </si>
  <si>
    <t>Claim Duration (months)</t>
  </si>
  <si>
    <t>part a (i)</t>
  </si>
  <si>
    <t>pending reserve</t>
  </si>
  <si>
    <t>pending factor</t>
  </si>
  <si>
    <t>interest</t>
  </si>
  <si>
    <t>monthly benefit</t>
  </si>
  <si>
    <t>benefit period</t>
  </si>
  <si>
    <t>months into the benefit period after the 3 month EP</t>
  </si>
  <si>
    <t>Spring 2022 FV #2a</t>
  </si>
  <si>
    <t>Current year</t>
  </si>
  <si>
    <t>Reserve at 2021-12-31</t>
  </si>
  <si>
    <t>Actual 2021 payments</t>
  </si>
  <si>
    <t>Reserve at 2021-01-01</t>
  </si>
  <si>
    <t>Claim duration</t>
  </si>
  <si>
    <t>• Payments occur at the midpoint of the year.</t>
  </si>
  <si>
    <t>• The valuation interest rate is 2%</t>
  </si>
  <si>
    <t>Spring 2022 FV #3d-e</t>
  </si>
  <si>
    <t>On 12/31/2020, 50 policyholders were still eligible for benefits</t>
  </si>
  <si>
    <t>eligible for benefits after one year was 60%.</t>
  </si>
  <si>
    <t>• The probability that a policyholder newly eligible for benefits would still be</t>
  </si>
  <si>
    <t>• The interest rate assumption was 3% per annum.</t>
  </si>
  <si>
    <t>• You held a reserve of $10,043,736 for these policyholders.</t>
  </si>
  <si>
    <t>• 100 policyholders first became eligible for benefits.</t>
  </si>
  <si>
    <t>As of 12/31/2019:</t>
  </si>
  <si>
    <t>• $103,000 payable after 3 years of benefit eligibility</t>
  </si>
  <si>
    <t>• $103,000 payable after 2 years of benefit eligibility</t>
  </si>
  <si>
    <t>• $103,000 payable after 1 year of benefit eligibility</t>
  </si>
  <si>
    <t>Fall 2020 FV-A #2d</t>
  </si>
  <si>
    <t>(d)</t>
  </si>
  <si>
    <t>Current Statutory Reserves</t>
  </si>
  <si>
    <t>NPV of Commissions</t>
  </si>
  <si>
    <t>NPV of Maintenance Expenses</t>
  </si>
  <si>
    <t>NPV of Premium Tax</t>
  </si>
  <si>
    <t>NPV of Claims</t>
  </si>
  <si>
    <t>Net Present Value (NPV) of Premiums</t>
  </si>
  <si>
    <t>5 years</t>
  </si>
  <si>
    <t>i</t>
  </si>
  <si>
    <t>deferrable expenses</t>
  </si>
  <si>
    <t>Fall 2020 FV-A #6c-d</t>
  </si>
  <si>
    <t>persistence, 0 after year five</t>
  </si>
  <si>
    <t>int</t>
  </si>
  <si>
    <t>claim trend</t>
  </si>
  <si>
    <t>policy holders</t>
  </si>
  <si>
    <t>Fall 2021 FV-A #1</t>
  </si>
  <si>
    <t>None, under the assumption of ignoring the UPR</t>
  </si>
  <si>
    <t>Due &amp; Unpaid Premium</t>
  </si>
  <si>
    <t>10/1/20X1</t>
  </si>
  <si>
    <t>Premium paid in advance</t>
  </si>
  <si>
    <t>$5,000 Liability</t>
  </si>
  <si>
    <t>&lt;---- a zero here implies no reserve needs held</t>
  </si>
  <si>
    <t>&lt;---- a negative amount here implies a due and unpaid reserve</t>
  </si>
  <si>
    <t>&lt;--- a positive amount here implies an advanced prem reserve</t>
  </si>
  <si>
    <t>Received - Earned</t>
  </si>
  <si>
    <t>Prem Received</t>
  </si>
  <si>
    <t>Total Earned</t>
  </si>
  <si>
    <t># of PMTs Earned</t>
  </si>
  <si>
    <t>Modal Prem</t>
  </si>
  <si>
    <t>Mode</t>
  </si>
  <si>
    <t>Ignoring the Unearned Premium Reserve</t>
  </si>
  <si>
    <t>11/01/20X0</t>
  </si>
  <si>
    <t>Prem paid date</t>
  </si>
  <si>
    <t>&lt;--- this is the same as 2/3 of a 1 year = 8 months, implying 4 months of the annual premium has been earned.</t>
  </si>
  <si>
    <t>Proportion of premium unearned</t>
  </si>
  <si>
    <t>9/01/20X1</t>
  </si>
  <si>
    <t>valuation date</t>
  </si>
  <si>
    <t>&lt;--- this is the same as 1/3 of a quarter year = 1 month, implying 2 months of the quarters premium has been earned</t>
  </si>
  <si>
    <t>to hold a liability for refunds.</t>
  </si>
  <si>
    <t>premium reserve, although there are other comparable requirements</t>
  </si>
  <si>
    <t>Single premium credit insurance is exempted from the requirement of unearned</t>
  </si>
  <si>
    <t>premiums paid in advance, have been paid beyond the date of valuation.”</t>
  </si>
  <si>
    <t>to the period of coverage for which premiums, other than</t>
  </si>
  <si>
    <t>“unearned premium reserves are required for all contracts with respect</t>
  </si>
  <si>
    <t>The NAIC’s model regulation states that</t>
  </si>
  <si>
    <t>Page 218 Lieda Chp 6</t>
  </si>
  <si>
    <r>
      <t xml:space="preserve">&lt;--- under the assumption that the policy is a single premium </t>
    </r>
    <r>
      <rPr>
        <b/>
        <i/>
        <sz val="11"/>
        <color theme="1"/>
        <rFont val="Calibri"/>
        <family val="2"/>
        <scheme val="minor"/>
      </rPr>
      <t>credit insurance policy</t>
    </r>
  </si>
  <si>
    <t>Gross UPR</t>
  </si>
  <si>
    <t>NP</t>
  </si>
  <si>
    <t>EOY Res.</t>
  </si>
  <si>
    <t>Cash flows @ EOY</t>
  </si>
  <si>
    <t>BOY Res.</t>
  </si>
  <si>
    <t>Mid Yr Claims</t>
  </si>
  <si>
    <t>BOY Premium</t>
  </si>
  <si>
    <t>Continuance</t>
  </si>
  <si>
    <t>Net Level Premium Policy Reserve (EOY)</t>
  </si>
  <si>
    <t>Policies In Force BOY</t>
  </si>
  <si>
    <t>Interest decrement</t>
  </si>
  <si>
    <t>Net Level Premium (BOY)</t>
  </si>
  <si>
    <t>Per Policy Claims (Mid Year)</t>
  </si>
  <si>
    <t>Policies In Force (BOY)</t>
  </si>
  <si>
    <t>Another way to set up the table for this problem which for some people may be easier to work with</t>
  </si>
  <si>
    <t>&lt;---- goal seek this cell to be 0 by changing cell J23</t>
  </si>
  <si>
    <t>&lt;---- Solve by using the fact that APV of C and NP at time 0 must equal each other, then use algebra or goal seek to solve for the policies inforce at time 1</t>
  </si>
  <si>
    <t>&lt;--- Total reserve @ time 1 = NP * 1,000 * (1.05) - Claims *1,000 * 1.05^(1/2)</t>
  </si>
  <si>
    <t>&lt;---- same the formula above</t>
  </si>
  <si>
    <t>&lt;---- the general iterative formula (before adjusting for decrements) is V at time t+1 = V at time t + C - NP</t>
  </si>
  <si>
    <t>&lt;---- the final reserve + the NP must cover the final claim payment (adjusted for decrements) … 0 = V +C - NP</t>
  </si>
  <si>
    <t>&lt;---- Step #1, we know that the final reserve must be zero</t>
  </si>
  <si>
    <t>&lt;---- Step #2, On a per survivor basis this must be = Total $$ reserve / Policies in force</t>
  </si>
  <si>
    <t>EOY Policy Res. Per Survivor Basis</t>
  </si>
  <si>
    <t>&lt;----Salary reduction factor benefit</t>
  </si>
  <si>
    <t>&lt;----- Maximum Tabular reserve</t>
  </si>
  <si>
    <t>&lt;---- The reserve before Duration 3 would be multiplied by a pending factor if applicable</t>
  </si>
  <si>
    <t>Cash flow</t>
  </si>
  <si>
    <t>Claim</t>
  </si>
  <si>
    <t>Net Prem</t>
  </si>
  <si>
    <t>EOY</t>
  </si>
  <si>
    <t>Retrospective method at Year 3</t>
  </si>
  <si>
    <t>Prospective method at Year 2</t>
  </si>
  <si>
    <t>Prospective method at Year 1</t>
  </si>
  <si>
    <t>Contract reserves -- Inforce basis (survivors method)</t>
  </si>
  <si>
    <t>APV</t>
  </si>
  <si>
    <t>Cont. table</t>
  </si>
  <si>
    <t>25 months earned</t>
  </si>
  <si>
    <t>person 4</t>
  </si>
  <si>
    <t>&lt;---- since there is a waiver of premium rider an answer of $0 was also accepted</t>
  </si>
  <si>
    <t>1/12 earned</t>
  </si>
  <si>
    <t>person 3</t>
  </si>
  <si>
    <t>person 2</t>
  </si>
  <si>
    <t>all earned because paid monthly</t>
  </si>
  <si>
    <t>person 1</t>
  </si>
  <si>
    <t>Unearned Prem Reserve</t>
  </si>
  <si>
    <t>Gross Monthly premium</t>
  </si>
  <si>
    <t>Months of unearned prem</t>
  </si>
  <si>
    <t>&lt;---- This person is not disabled so there is no disabled life reserve held for this member</t>
  </si>
  <si>
    <t>Disabled life reserve = reserve factor * benefit factor</t>
  </si>
  <si>
    <t>Benefit factor</t>
  </si>
  <si>
    <t>Reserve factor (for $1 of monthly benefit)</t>
  </si>
  <si>
    <t>Premiums are all paid on time and the amount due is paid.</t>
  </si>
  <si>
    <t>The reserve tables are indexed to a $2,000 gross monthly benefit and we assume that the factors used in the table development will be appropriate for the four different monthly benefit amounts in this problem.</t>
  </si>
  <si>
    <t>Assumptions needed to be made in this problem:</t>
  </si>
  <si>
    <t>Net Level Premium Block in year 1 = 10,000 policies * $960.71</t>
  </si>
  <si>
    <t xml:space="preserve">Net Level Premium = PV (Expected Claims) / Premium Annuity </t>
  </si>
  <si>
    <t>Premium Annuity</t>
  </si>
  <si>
    <t>PV(Expected Claims)</t>
  </si>
  <si>
    <t>Discount</t>
  </si>
  <si>
    <t>Cumulative Persistency</t>
  </si>
  <si>
    <t>t</t>
  </si>
  <si>
    <t>Total pending reserve</t>
  </si>
  <si>
    <t>&lt;---- tabular reserve times pending factor</t>
  </si>
  <si>
    <t>&lt;--- past payment accumulated to Valuation date 7/31 times pending factors</t>
  </si>
  <si>
    <t>"Date"</t>
  </si>
  <si>
    <t>Interest factor</t>
  </si>
  <si>
    <t>Time to Valuation date</t>
  </si>
  <si>
    <t>Reserve sufficiency</t>
  </si>
  <si>
    <t>Months</t>
  </si>
  <si>
    <t xml:space="preserve">Reserve as of 7/31 </t>
  </si>
  <si>
    <t>age as of 6/30/2022</t>
  </si>
  <si>
    <t>&lt;----- the pending reserve would decrease as the benefit payments would be discounted further back in time</t>
  </si>
  <si>
    <t>&lt;----- pending factor</t>
  </si>
  <si>
    <t>Mid month lives</t>
  </si>
  <si>
    <t>Duration at PMT</t>
  </si>
  <si>
    <t>&lt;----- the estimated pending reserve at valuation date is larger than pending reserve that was held, the pending factor needs to be increased</t>
  </si>
  <si>
    <t>&lt;----- Total reserve before applying the pending factor</t>
  </si>
  <si>
    <t>&lt;----- Accumulation of past benefits to valuation date</t>
  </si>
  <si>
    <t>&lt;----- Tabular reserve at valuation date</t>
  </si>
  <si>
    <t>&lt;----- assume benefit payments are made mid month</t>
  </si>
  <si>
    <t>&lt;--- we are assuming it is appropriate to discount amounts back to 1/1/2021 as is shown in the example of a runoff study in Skwire chapter 40 page 697</t>
  </si>
  <si>
    <t>N/A</t>
  </si>
  <si>
    <t>Over / (under) reserved</t>
  </si>
  <si>
    <t>reserve held at 1/1/2021</t>
  </si>
  <si>
    <t>Discounted to 1/1/2021</t>
  </si>
  <si>
    <t>Best estimate of the needed</t>
  </si>
  <si>
    <t>&lt;---- Total reserve at time 1 if there are only 50 eligible policyholders left</t>
  </si>
  <si>
    <t>&lt;--- Reserve per survivor at time 1</t>
  </si>
  <si>
    <t>&lt;--- Benefits to be paid per survivor at time 1</t>
  </si>
  <si>
    <t>&lt;--- Reserve per survivor at time 1 just before benefits are paid</t>
  </si>
  <si>
    <t>&lt;--- Reserve per person at time 0</t>
  </si>
  <si>
    <t>v=</t>
  </si>
  <si>
    <t>NEP</t>
  </si>
  <si>
    <t>&lt;------ The value of the DAC reserve right the NEP at the end of policy year 3 is applied</t>
  </si>
  <si>
    <t xml:space="preserve">&lt;---- Per original policy issued </t>
  </si>
  <si>
    <t>DAC</t>
  </si>
  <si>
    <t>Int.</t>
  </si>
  <si>
    <t>=v</t>
  </si>
  <si>
    <t>GPR</t>
  </si>
  <si>
    <t>Current Reserve and Future Revenue</t>
  </si>
  <si>
    <t>PV of Benefits &amp; Expenses</t>
  </si>
  <si>
    <t>Org Issue</t>
  </si>
  <si>
    <t>in force</t>
  </si>
  <si>
    <t>ALR</t>
  </si>
  <si>
    <t>Claims Decrement</t>
  </si>
  <si>
    <t>Prem Int.  Decrement</t>
  </si>
  <si>
    <t>Retiree</t>
  </si>
  <si>
    <t>Years of Service</t>
  </si>
  <si>
    <t>ID number</t>
  </si>
  <si>
    <t xml:space="preserve">	Age 65 annuity factor (including trend and post-retirement mortality):  13_x000D_
</t>
  </si>
  <si>
    <t>Retirement rate:  assumed 100% at age 65</t>
  </si>
  <si>
    <t xml:space="preserve">	Pre-retirement mortality rate:  assumed 0%_x000D_
</t>
  </si>
  <si>
    <t>Pre-retirement annual termination rate:  3% at every age</t>
  </si>
  <si>
    <t xml:space="preserve">	Current annual claims cost per capita reflects individual coverage only_x000D_
</t>
  </si>
  <si>
    <t>Trend rate:  6.0% in year one, decreasing by 0.25% per year to an ultimate 4.0% rate</t>
  </si>
  <si>
    <t xml:space="preserve">	Discount rate:  5.0% per annum_x000D_
</t>
  </si>
  <si>
    <t>Spring 2022 FV #9a-c</t>
  </si>
  <si>
    <t>80 +</t>
  </si>
  <si>
    <t>20X0 Annual Cost 
Per Person ($)</t>
  </si>
  <si>
    <t>Age (years)</t>
  </si>
  <si>
    <t>Exhibit 5 - Retiree Medical Data</t>
  </si>
  <si>
    <t>Single</t>
  </si>
  <si>
    <t>Married</t>
  </si>
  <si>
    <t>Spouse Age (years)</t>
  </si>
  <si>
    <t>Family Status</t>
  </si>
  <si>
    <t>Headcount</t>
  </si>
  <si>
    <t>Exhibit 4 - Retiree Data</t>
  </si>
  <si>
    <t>Service (years)</t>
  </si>
  <si>
    <t>Exhibit 3 - Active Employee Data</t>
  </si>
  <si>
    <t>Active &amp; Retiree</t>
  </si>
  <si>
    <t>Exhibit 2 - Monthly Paid Premium Rate</t>
  </si>
  <si>
    <t>None for the next 3 years</t>
  </si>
  <si>
    <t>Mortality:</t>
  </si>
  <si>
    <t>Annual Trend Rate:</t>
  </si>
  <si>
    <t>Annual Discount Rate:</t>
  </si>
  <si>
    <t>Exhibit 1 - Assumptions</t>
  </si>
  <si>
    <t>Spring 2023 VR #6b</t>
  </si>
  <si>
    <t>age at hire</t>
  </si>
  <si>
    <t>age</t>
  </si>
  <si>
    <t>EE</t>
  </si>
  <si>
    <t>Calculated at the beginning of the year</t>
  </si>
  <si>
    <t>Service Cost</t>
  </si>
  <si>
    <t>4.5% per year</t>
  </si>
  <si>
    <t>Discount Rate</t>
  </si>
  <si>
    <t>None</t>
  </si>
  <si>
    <t>Disability</t>
  </si>
  <si>
    <t>at 65</t>
  </si>
  <si>
    <t>at 62</t>
  </si>
  <si>
    <t>50% at 62; 100% at 65</t>
  </si>
  <si>
    <t>Retirement Rates</t>
  </si>
  <si>
    <t>4% per year, stops at full eligibility</t>
  </si>
  <si>
    <t>Termination Rates</t>
  </si>
  <si>
    <t>Last payable age is 75</t>
  </si>
  <si>
    <t>Benefit Duration</t>
  </si>
  <si>
    <t>ben start age</t>
  </si>
  <si>
    <t>Max year</t>
  </si>
  <si>
    <t>$250 per year of post age-40 service Maximum of 20 years</t>
  </si>
  <si>
    <t>Annual Benefit Amount</t>
  </si>
  <si>
    <t>Plan Design</t>
  </si>
  <si>
    <t>Fall 2023 VR #5</t>
  </si>
  <si>
    <t>as under the current traditional plan. Show your work</t>
  </si>
  <si>
    <t>(d)             (2 points)  Calculate the monthly subsidy amount such that the total out-of-pocket cost (including premiums) to XYZ’s retirees will be the same</t>
  </si>
  <si>
    <t>retirees will choose the plan option recommended in part (c) based on their health category.</t>
  </si>
  <si>
    <t xml:space="preserve">You determine that 20% of the participants are in the “unhealthy” category and 80% are in the “healthy” category. For modeling purposes, you assume that </t>
  </si>
  <si>
    <t>chosen by a particular retiree will be forfeited.</t>
  </si>
  <si>
    <t xml:space="preserve">XYZ intends to provide a monthly subsidy that will at least cover the premium of the cheapest plan option. Any subsidy that exceeds the premium of the plan </t>
  </si>
  <si>
    <t>o     Medicare Advantage Plan</t>
  </si>
  <si>
    <t>o     Medigap Plan G</t>
  </si>
  <si>
    <t>o     Medigap Plan F</t>
  </si>
  <si>
    <t>The monthly premiums per retiree for the three exchange plan options are as follows:</t>
  </si>
  <si>
    <t>(b)             (1 point)  Calculate the annual expected out-of-pocket costs for each of the two retirees under each of the three plan options. Show your work.</t>
  </si>
  <si>
    <t>o     2 primary care provider (PCP) office visits at a cost of $100 per visit</t>
  </si>
  <si>
    <t>Retiree B (healthy):</t>
  </si>
  <si>
    <t>o     12 specialist office visits at a cost of $300 per visit</t>
  </si>
  <si>
    <t>o     4 inpatient hospital admissions at a cost of $20,000 per admission</t>
  </si>
  <si>
    <t xml:space="preserve">Retiree A (unhealthy): </t>
  </si>
  <si>
    <t>Consider two newly eligible Medicare beneficiaries with the following assumed claims for the upcoming year:</t>
  </si>
  <si>
    <t>The current Medicare Part B deductible is $226.</t>
  </si>
  <si>
    <t>o     $60 copayment for specialist office visit</t>
  </si>
  <si>
    <t>o     $30 copayment per PCP office visit</t>
  </si>
  <si>
    <t>o     $500 copayment per inpatient admission</t>
  </si>
  <si>
    <t>o     Medicare Advantage Plan with the following design:</t>
  </si>
  <si>
    <t>o     Standard Medigap Plan G</t>
  </si>
  <si>
    <t>o     Standard Medigap Plan F</t>
  </si>
  <si>
    <t>The private exchange has three plan options available to these retirees:</t>
  </si>
  <si>
    <t>Spring 2024 VR #8b,d</t>
  </si>
  <si>
    <t>ü</t>
  </si>
  <si>
    <t>Foreign travel emergency care</t>
  </si>
  <si>
    <t>Part B excess charges</t>
  </si>
  <si>
    <t>Part B deductible</t>
  </si>
  <si>
    <t>Part A deductible</t>
  </si>
  <si>
    <t>Skilled nursing facility</t>
  </si>
  <si>
    <t>Part A hospice coinsurance</t>
  </si>
  <si>
    <t>First 3 pints of blood</t>
  </si>
  <si>
    <t>Part B member coinsurance</t>
  </si>
  <si>
    <t>Part A member coinsurance</t>
  </si>
  <si>
    <t>Design Feature</t>
  </si>
  <si>
    <t>Plan G</t>
  </si>
  <si>
    <t>Plan F</t>
  </si>
  <si>
    <t>Standard Medigap Plan Designs</t>
  </si>
  <si>
    <t>part b(i)</t>
  </si>
  <si>
    <t>Present Value Contributions</t>
  </si>
  <si>
    <t>Contributions after Decrements/Participation</t>
  </si>
  <si>
    <t>Contribution after TREND</t>
  </si>
  <si>
    <t>Contribution before adjustments</t>
  </si>
  <si>
    <t>Present Value Medical Claims</t>
  </si>
  <si>
    <t>Claim cost after Decrements/Participation</t>
  </si>
  <si>
    <t>Claim cost after TREND and AGING</t>
  </si>
  <si>
    <t>Claim cost before adjustment</t>
  </si>
  <si>
    <t>Trend Factor</t>
  </si>
  <si>
    <t>Aging Factor</t>
  </si>
  <si>
    <t>Discount Factor</t>
  </si>
  <si>
    <t>Retiree Decrements (Mid-Year)</t>
  </si>
  <si>
    <t>Eligible     (0=No, 1 = Yes)</t>
  </si>
  <si>
    <t>Trend Scenario #2, Plan 2</t>
  </si>
  <si>
    <t>Trend Scenario #2, Plan 1</t>
  </si>
  <si>
    <t>Trend Scenario #1, Plan 2</t>
  </si>
  <si>
    <t>Trend Scenario #1, Plan 1</t>
  </si>
  <si>
    <t>·       Employee participation is 100%</t>
  </si>
  <si>
    <t xml:space="preserve">·       Claim costs are $15,000 before age 65 and $2,100 after age 65 </t>
  </si>
  <si>
    <t>·       Discount factor is based on 5% discount rate</t>
  </si>
  <si>
    <t>·       Mid-year retiree decrements appropriately account for retire, withdraw, and death rate</t>
  </si>
  <si>
    <t>·       Claim cost above age 90 are ignored due to materiality</t>
  </si>
  <si>
    <t>An actuarial student provided you with the benefit tool based on two scenarios, Trend Scenario #1 and Trend Scenario #2, per each plan on the valuation date 1/1/2024.  Assume the following:</t>
  </si>
  <si>
    <t>20% Medical Claims</t>
  </si>
  <si>
    <t>Plan2</t>
  </si>
  <si>
    <t>Plan1</t>
  </si>
  <si>
    <t>Post-65 Employees</t>
  </si>
  <si>
    <t>Pre-65 Employees</t>
  </si>
  <si>
    <t>The benefit manager is considering one of the two plans with the following employee contributions:</t>
  </si>
  <si>
    <t>·       Spouses are not eligible to receive the benefit</t>
  </si>
  <si>
    <t>·       All employees start taking retiree health benefits as soon as they are eligible</t>
  </si>
  <si>
    <t>·       All employees are hired on 12/31/2018</t>
  </si>
  <si>
    <t>·       All employees are age 40</t>
  </si>
  <si>
    <t>·       DEF has 1,000 employees</t>
  </si>
  <si>
    <t>DEF's benefit manager provided the following information on the valuation date 1/1/2024:</t>
  </si>
  <si>
    <t>·       DEF's debt covenant limits the liability to $150,000,000 and DEF wants to ensure that their APBO is within 10% of its maximum liability</t>
  </si>
  <si>
    <t>·       DEF's annual budget for retiree benefit expenses is $3,000,000</t>
  </si>
  <si>
    <t>·       Motivate the workforce by offering the richest retiree benefit that DEF can afford</t>
  </si>
  <si>
    <t>DEF is offering retiree health benefits based on the following strategic objectives:</t>
  </si>
  <si>
    <t>Fall 2024 DP #9b</t>
  </si>
  <si>
    <t>Simplified - Detailed</t>
  </si>
  <si>
    <t>NPPBC</t>
  </si>
  <si>
    <t>Amortization of Loss</t>
  </si>
  <si>
    <t>return on plan assets</t>
  </si>
  <si>
    <t>Int Cost</t>
  </si>
  <si>
    <t>SC</t>
  </si>
  <si>
    <t>APBO</t>
  </si>
  <si>
    <t>EPBO</t>
  </si>
  <si>
    <t>Simplified</t>
  </si>
  <si>
    <t>Expected Annual benefits paid</t>
  </si>
  <si>
    <t>Detailed</t>
  </si>
  <si>
    <t>Total APBO</t>
  </si>
  <si>
    <t># of EE</t>
  </si>
  <si>
    <t>annuity</t>
  </si>
  <si>
    <t>attribution</t>
  </si>
  <si>
    <t>discount</t>
  </si>
  <si>
    <t>trend</t>
  </si>
  <si>
    <t>Survival</t>
  </si>
  <si>
    <t>&lt;---- Total APBO</t>
  </si>
  <si>
    <t>APBO per member</t>
  </si>
  <si>
    <t>APBO = EPBO for retirees</t>
  </si>
  <si>
    <t>Discount factor</t>
  </si>
  <si>
    <t>Time to valuation</t>
  </si>
  <si>
    <t>Costs</t>
  </si>
  <si>
    <t>&lt;----- all members stay in current age brackets, we assume no need to interpolate and that on average the given costs are reasonable</t>
  </si>
  <si>
    <t>&lt;---- average cost PMPY, this can be used here since there are not going to be any demographic changes</t>
  </si>
  <si>
    <t>&lt;---- we are assuming that the spouse also gets benefits</t>
  </si>
  <si>
    <t>&lt;---- only retirees are included since the benefit obligation for actives is eliminated by the settlement</t>
  </si>
  <si>
    <t>Annual costs 20X0</t>
  </si>
  <si>
    <t>MM</t>
  </si>
  <si>
    <t>APBP</t>
  </si>
  <si>
    <t>length of att. period</t>
  </si>
  <si>
    <t>future service</t>
  </si>
  <si>
    <t>past service</t>
  </si>
  <si>
    <t>Prob</t>
  </si>
  <si>
    <t>&lt;---- second half of EE's retire</t>
  </si>
  <si>
    <t>&lt;---- half of EE's retire</t>
  </si>
  <si>
    <t>&lt;---- Fully eligible</t>
  </si>
  <si>
    <t>Disc rate</t>
  </si>
  <si>
    <t>Term</t>
  </si>
  <si>
    <t>Yrs to FBE</t>
  </si>
  <si>
    <t>EE age</t>
  </si>
  <si>
    <t>Retire at 65</t>
  </si>
  <si>
    <t>Retire at 62</t>
  </si>
  <si>
    <t>Decrements</t>
  </si>
  <si>
    <t>Subsidy amount</t>
  </si>
  <si>
    <t>Solution</t>
  </si>
  <si>
    <t>Subsidy amount = $335 - $211 = $124 per month</t>
  </si>
  <si>
    <t>Medigap Plan G premium is $335 (given)</t>
  </si>
  <si>
    <t>Solve for x = $2,534 or $211 per month</t>
  </si>
  <si>
    <t>Formula is $600 = 0.8 * $60 + 0.2 * ($226 + x) where x = annual retiree premium for Medigap Plan G.</t>
  </si>
  <si>
    <t>Retiree A's total annual costs will equal the $226 in OOP expenses, plus the $4,020 in premiums, minus the full amount of the subsidy.</t>
  </si>
  <si>
    <t>Subsidy must at least cover the premium of the cheapest plan option, which is the Medicare Advantage plan ($100 per month), so Retiree B's total annual costs will only be the $60 in OOP expenses.</t>
  </si>
  <si>
    <t>Medicare Advantage</t>
  </si>
  <si>
    <t>Retiree B</t>
  </si>
  <si>
    <t>Medigap Plan G</t>
  </si>
  <si>
    <t>Retiree A</t>
  </si>
  <si>
    <t>Annual Premium Before Subsidy</t>
  </si>
  <si>
    <t>Annual OOP Claims</t>
  </si>
  <si>
    <t>Recommendation from Part C</t>
  </si>
  <si>
    <t>% of Total</t>
  </si>
  <si>
    <t>Retirees pay a portion of the premium</t>
  </si>
  <si>
    <t>Annual Premium</t>
  </si>
  <si>
    <t>Monthly Premium</t>
  </si>
  <si>
    <t xml:space="preserve">No OOP cost sharing.  </t>
  </si>
  <si>
    <t>Current Plan:</t>
  </si>
  <si>
    <t>Plan G will only cover expenses after the Part B deductible is met, as this benefit is no longer allowed to be covered by MedSup plans so it is not a part of Plan G</t>
  </si>
  <si>
    <t>Plan F will cover all expenses with no Part B deductible, as this Part B deductible is paid by the MedSup plan</t>
  </si>
  <si>
    <t>MA Plan</t>
  </si>
  <si>
    <t>in Trend</t>
  </si>
  <si>
    <t>Trend</t>
  </si>
  <si>
    <t>Variance</t>
  </si>
  <si>
    <t>Scenario 2</t>
  </si>
  <si>
    <t>Scenario 1</t>
  </si>
  <si>
    <t>The financial impact is material. Also, the choice between plans may be inadequate as a result.</t>
  </si>
  <si>
    <t xml:space="preserve">Scenario 2 uses trends that are 2% lower than Scenario 1. Using aggressive trend may create $6 to $8 million of unanticipated retiree health costs based on APBO if the more conservative assumptions are proven to be correct. </t>
  </si>
  <si>
    <t>The only different assumption between the two scenarios is the trend rate. Calculated as:</t>
  </si>
  <si>
    <t>part b(ii)</t>
  </si>
  <si>
    <t>In addition, fixed contribution dollars under Plan 1 provide a sense of financial security for the employee.</t>
  </si>
  <si>
    <t>I recommend Plan 1 because both plans are within the maximum APBO and service cost, while Plan 1 offers richer benefits.</t>
  </si>
  <si>
    <t>For Scenario 2</t>
  </si>
  <si>
    <t>Also, fixed percentage under Plan 2 results in less claims volatility for DEF due to the avoidance of leveraging impact.</t>
  </si>
  <si>
    <t>I recommend Plan 2 because Plan 1 exceeds the maximum APBO and service cost that DEF specifies.</t>
  </si>
  <si>
    <t>For Scenario 1</t>
  </si>
  <si>
    <t xml:space="preserve">&lt;---- the APBO is the current liability that is held on the balance sheet </t>
  </si>
  <si>
    <t xml:space="preserve">Maximum total APBO = </t>
  </si>
  <si>
    <t>&lt;---- the service cost is the expense amount moved on to the income statement each year</t>
  </si>
  <si>
    <t xml:space="preserve">Maximum total service cost = </t>
  </si>
  <si>
    <t>Constraints given in the question</t>
  </si>
  <si>
    <t>Meets SC Constraint?</t>
  </si>
  <si>
    <t>Meets APBO Constraint?</t>
  </si>
  <si>
    <t>Total Service Cost</t>
  </si>
  <si>
    <t>Count</t>
  </si>
  <si>
    <t>Attribution Period</t>
  </si>
  <si>
    <t>Date of First Eligibility</t>
  </si>
  <si>
    <t>Date of Hire</t>
  </si>
  <si>
    <t>Future Service (Years)</t>
  </si>
  <si>
    <t>Past Service (Years)</t>
  </si>
  <si>
    <t>Scenario</t>
  </si>
  <si>
    <t>Date of Valuation</t>
  </si>
  <si>
    <t xml:space="preserve">EPBO </t>
  </si>
  <si>
    <t>PV of Contributions</t>
  </si>
  <si>
    <t>PV of Medical Claims</t>
  </si>
  <si>
    <t>Plan 2</t>
  </si>
  <si>
    <t>Plan 1</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</si>
  <si>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</si>
  <si>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</si>
  <si>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</si>
  <si>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</si>
  <si>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</si>
  <si>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</si>
  <si>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</si>
  <si>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</si>
  <si>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</si>
  <si>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</si>
  <si>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CP 321 - Disability, Long-Term Care, and Long-Duration Health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</si>
</sst>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
    <numFmt numFmtId="167" formatCode="0.0000%"/>
    <numFmt numFmtId="168" formatCode="0.00000%"/>
    <numFmt numFmtId="169" formatCode="&quot;$&quot;#,##0"/>
    <numFmt numFmtId="170" formatCode="_(* #,##0_);_(* \(#,##0\);_(* &quot;-&quot;??_);_(@_)"/>
    <numFmt numFmtId="171" formatCode="_(&quot;$&quot;* #,##0_);_(&quot;$&quot;* \(#,##0\);_(&quot;$&quot;* &quot;-&quot;??_);_(@_)"/>
    <numFmt numFmtId="172" formatCode="0.0000"/>
    <numFmt numFmtId="173" formatCode="0.000"/>
    <numFmt numFmtId="174" formatCode="0.0"/>
    <numFmt numFmtId="175" formatCode="#,##0.000"/>
    <numFmt numFmtId="176" formatCode="_(* #,##0.0000_);_(* \(#,##0.0000\);_(* &quot;-&quot;??_);_(@_)"/>
    <numFmt numFmtId="177" formatCode="0.000000"/>
    <numFmt numFmtId="178" formatCode="_(* #,##0.000_);_(* \(#,##0.000\);_(* &quot;-&quot;??_);_(@_)"/>
    <numFmt numFmtId="179" formatCode="#,##0.0000_);\(#,##0.0000\)"/>
    <numFmt numFmtId="180" formatCode="[$-409]mmmm\ d\,\ yyyy;@"/>
  </numFmts>
  <fonts count="3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1"/>
      <name val="Calibri"/>
      <family val="2"/>
    </font>
    <font>
      <sz val="11"/>
      <color rgb="FF000000"/>
      <name val="Times New Roman"/>
      <family val="1"/>
    </font>
    <font>
      <b/>
      <sz val="11"/>
      <color rgb="FF000000"/>
      <name val="Times New Roman"/>
      <family val="1"/>
    </font>
    <font>
      <u/>
      <sz val="11"/>
      <color theme="1"/>
      <name val="Calibri"/>
      <family val="2"/>
      <scheme val="minor"/>
    </font>
    <font>
      <u/>
      <sz val="11"/>
      <color theme="10"/>
      <name val="Calibri"/>
      <family val="2"/>
      <scheme val="minor"/>
    </font>
    <font>
      <i/>
      <sz val="11"/>
      <color theme="1"/>
      <name val="Calibri"/>
      <family val="2"/>
      <scheme val="minor"/>
    </font>
    <font>
      <b/>
      <sz val="11"/>
      <color theme="1"/>
      <name val="Calibri"/>
      <family val="2"/>
    </font>
    <font>
      <b/>
      <u/>
      <sz val="11"/>
      <color theme="1"/>
      <name val="Calibri"/>
      <family val="2"/>
      <scheme val="minor"/>
    </font>
    <font>
      <b/>
      <i/>
      <sz val="11"/>
      <color theme="1"/>
      <name val="Calibri"/>
      <family val="2"/>
      <scheme val="minor"/>
    </font>
    <font>
      <sz val="11"/>
      <color rgb="FF000000"/>
      <name val="Calibri"/>
      <family val="2"/>
    </font>
    <font>
      <sz val="12"/>
      <color theme="1"/>
      <name val="Times New Roman"/>
      <family val="1"/>
    </font>
    <font>
      <sz val="11"/>
      <color rgb="FF000000"/>
      <name val="Calibri"/>
      <family val="2"/>
      <scheme val="minor"/>
    </font>
    <font>
      <sz val="10"/>
      <color theme="1"/>
      <name val="Arial"/>
      <family val="2"/>
    </font>
    <font>
      <b/>
      <sz val="18"/>
      <color theme="1"/>
      <name val="Times New Roman"/>
      <family val="1"/>
    </font>
    <font>
      <sz val="10"/>
      <color theme="1"/>
      <name val="Wingdings"/>
      <charset val="2"/>
    </font>
    <font>
      <sz val="10"/>
      <name val="Arial"/>
      <family val="2"/>
    </font>
    <font>
      <b/>
      <sz val="10"/>
      <color theme="1"/>
      <name val="Arial"/>
      <family val="2"/>
    </font>
    <font>
      <sz val="11"/>
      <name val="Calibri"/>
      <family val="2"/>
      <scheme val="minor"/>
    </font>
    <font>
      <u/>
      <sz val="11"/>
      <name val="Calibri"/>
      <family val="2"/>
      <scheme val="minor"/>
    </font>
    <font>
      <b/>
      <sz val="11"/>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sz val="10"/>
      <color theme="1"/>
      <name val="Calibri"/>
      <family val="2"/>
      <scheme val="minor"/>
    </font>
  </fonts>
  <fills count="14">
    <fill>
      <patternFill patternType="none"/>
    </fill>
    <fill>
      <patternFill patternType="gray125"/>
    </fill>
    <fill>
      <patternFill patternType="solid">
        <fgColor rgb="FFF2F2F2"/>
      </patternFill>
    </fill>
    <fill>
      <patternFill patternType="solid">
        <fgColor rgb="FFA5A5A5"/>
      </patternFill>
    </fill>
    <fill>
      <patternFill patternType="solid">
        <fgColor rgb="FFFFFFCC"/>
      </patternFill>
    </fill>
    <fill>
      <patternFill patternType="solid">
        <fgColor rgb="FF92D050"/>
        <bgColor indexed="64"/>
      </patternFill>
    </fill>
    <fill>
      <patternFill patternType="solid">
        <fgColor rgb="FFE6B8B7"/>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bottom style="thin">
        <color rgb="FFB2B2B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ck">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rgb="FFB2B2B2"/>
      </right>
      <top/>
      <bottom style="thin">
        <color indexed="64"/>
      </bottom>
      <diagonal/>
    </border>
    <border>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1" fillId="4" borderId="3" applyNumberFormat="0" applyFont="0" applyAlignment="0" applyProtection="0"/>
    <xf numFmtId="0" fontId="9"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 fillId="0" borderId="0"/>
    <xf numFmtId="0" fontId="17" fillId="0" borderId="0"/>
  </cellStyleXfs>
  <cellXfs count="444">
    <xf numFmtId="0" fontId="0" fillId="0" borderId="0" xfId="0"/>
    <xf numFmtId="9" fontId="0" fillId="0" borderId="0" xfId="0" applyNumberFormat="1"/>
    <xf numFmtId="0" fontId="0" fillId="0" borderId="7" xfId="0" applyBorder="1"/>
    <xf numFmtId="10" fontId="0" fillId="0" borderId="0" xfId="0" applyNumberFormat="1"/>
    <xf numFmtId="164" fontId="0" fillId="5" borderId="8" xfId="0" applyNumberFormat="1" applyFill="1" applyBorder="1"/>
    <xf numFmtId="0" fontId="0" fillId="5" borderId="8" xfId="0" applyFill="1" applyBorder="1"/>
    <xf numFmtId="0" fontId="3" fillId="3" borderId="2" xfId="5"/>
    <xf numFmtId="0" fontId="2" fillId="2" borderId="1" xfId="4"/>
    <xf numFmtId="0" fontId="0" fillId="4" borderId="9" xfId="6" applyFont="1" applyBorder="1"/>
    <xf numFmtId="0" fontId="0" fillId="0" borderId="4" xfId="0" applyBorder="1"/>
    <xf numFmtId="0" fontId="4" fillId="0" borderId="6" xfId="0" applyFont="1" applyBorder="1"/>
    <xf numFmtId="165" fontId="0" fillId="5" borderId="8" xfId="3" applyNumberFormat="1" applyFont="1" applyFill="1" applyBorder="1"/>
    <xf numFmtId="166" fontId="0" fillId="0" borderId="0" xfId="0" applyNumberFormat="1"/>
    <xf numFmtId="167" fontId="0" fillId="0" borderId="7" xfId="0" applyNumberFormat="1" applyBorder="1"/>
    <xf numFmtId="10" fontId="0" fillId="0" borderId="7" xfId="0" applyNumberFormat="1" applyBorder="1"/>
    <xf numFmtId="167" fontId="0" fillId="0" borderId="0" xfId="0" applyNumberFormat="1"/>
    <xf numFmtId="168" fontId="0" fillId="0" borderId="7" xfId="0" applyNumberFormat="1" applyBorder="1"/>
    <xf numFmtId="168" fontId="0" fillId="0" borderId="0" xfId="0" applyNumberFormat="1"/>
    <xf numFmtId="6" fontId="0" fillId="0" borderId="0" xfId="0" applyNumberFormat="1"/>
    <xf numFmtId="6" fontId="0" fillId="0" borderId="10" xfId="0" applyNumberFormat="1" applyBorder="1"/>
    <xf numFmtId="6" fontId="0" fillId="0" borderId="7" xfId="0" applyNumberFormat="1" applyBorder="1"/>
    <xf numFmtId="0" fontId="0" fillId="0" borderId="11" xfId="0" applyBorder="1"/>
    <xf numFmtId="6" fontId="0" fillId="0" borderId="12" xfId="0" applyNumberFormat="1" applyBorder="1"/>
    <xf numFmtId="0" fontId="0" fillId="0" borderId="13" xfId="0" applyBorder="1"/>
    <xf numFmtId="6" fontId="0" fillId="0" borderId="14" xfId="0" applyNumberFormat="1" applyBorder="1"/>
    <xf numFmtId="6" fontId="0" fillId="0" borderId="15" xfId="0" applyNumberFormat="1" applyBorder="1"/>
    <xf numFmtId="0" fontId="0" fillId="0" borderId="15" xfId="0" applyBorder="1"/>
    <xf numFmtId="0" fontId="0" fillId="0" borderId="16" xfId="0" applyBorder="1"/>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xf numFmtId="0" fontId="0" fillId="0" borderId="17" xfId="0" applyBorder="1"/>
    <xf numFmtId="0" fontId="0" fillId="0" borderId="18" xfId="0" applyBorder="1"/>
    <xf numFmtId="0" fontId="0" fillId="0" borderId="19" xfId="0" applyBorder="1"/>
    <xf numFmtId="9" fontId="0" fillId="0" borderId="0" xfId="3" applyFont="1"/>
    <xf numFmtId="0" fontId="0" fillId="0" borderId="0" xfId="0" applyAlignment="1">
      <alignment horizontal="right"/>
    </xf>
    <xf numFmtId="164" fontId="0" fillId="0" borderId="0" xfId="0" applyNumberFormat="1"/>
    <xf numFmtId="6" fontId="0" fillId="0" borderId="8" xfId="0" applyNumberFormat="1" applyBorder="1" applyAlignment="1">
      <alignment horizontal="center" vertical="center"/>
    </xf>
    <xf numFmtId="3" fontId="0" fillId="0" borderId="8" xfId="0" applyNumberFormat="1" applyBorder="1" applyAlignment="1">
      <alignment horizontal="center" vertical="center"/>
    </xf>
    <xf numFmtId="0" fontId="4" fillId="0" borderId="0" xfId="0" applyFont="1" applyAlignment="1">
      <alignment horizontal="center"/>
    </xf>
    <xf numFmtId="0" fontId="0" fillId="0" borderId="0" xfId="0" applyAlignment="1">
      <alignment horizontal="left"/>
    </xf>
    <xf numFmtId="169" fontId="0" fillId="0" borderId="0" xfId="0" applyNumberFormat="1"/>
    <xf numFmtId="169" fontId="0" fillId="0" borderId="8" xfId="0" applyNumberFormat="1" applyBorder="1"/>
    <xf numFmtId="4" fontId="6" fillId="0" borderId="21" xfId="0" applyNumberFormat="1" applyFont="1" applyBorder="1" applyAlignment="1">
      <alignment horizontal="right" vertical="center"/>
    </xf>
    <xf numFmtId="4" fontId="6" fillId="0" borderId="22" xfId="0" applyNumberFormat="1" applyFont="1" applyBorder="1" applyAlignment="1">
      <alignment horizontal="right" vertical="center"/>
    </xf>
    <xf numFmtId="4" fontId="6" fillId="0" borderId="22" xfId="0" applyNumberFormat="1" applyFont="1" applyBorder="1" applyAlignment="1">
      <alignment horizontal="right" vertical="center" wrapText="1"/>
    </xf>
    <xf numFmtId="0" fontId="6" fillId="0" borderId="23" xfId="0" applyFont="1" applyBorder="1" applyAlignment="1">
      <alignment horizontal="center" vertical="center" wrapText="1"/>
    </xf>
    <xf numFmtId="4" fontId="6" fillId="0" borderId="24" xfId="0" applyNumberFormat="1" applyFont="1" applyBorder="1" applyAlignment="1">
      <alignment horizontal="right" vertical="center"/>
    </xf>
    <xf numFmtId="4" fontId="6" fillId="0" borderId="25" xfId="0" applyNumberFormat="1" applyFont="1" applyBorder="1" applyAlignment="1">
      <alignment horizontal="right" vertical="center"/>
    </xf>
    <xf numFmtId="4" fontId="6" fillId="0" borderId="25" xfId="0" applyNumberFormat="1" applyFont="1" applyBorder="1" applyAlignment="1">
      <alignment horizontal="right" vertical="center" wrapText="1"/>
    </xf>
    <xf numFmtId="0" fontId="6"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2" fontId="6" fillId="0" borderId="25" xfId="0" applyNumberFormat="1" applyFont="1" applyBorder="1" applyAlignment="1">
      <alignment horizontal="center" vertical="center" wrapText="1"/>
    </xf>
    <xf numFmtId="0" fontId="6" fillId="0" borderId="25" xfId="0" applyFont="1" applyBorder="1" applyAlignment="1">
      <alignment horizontal="center" vertical="center" wrapText="1"/>
    </xf>
    <xf numFmtId="4" fontId="6" fillId="0" borderId="25" xfId="0" applyNumberFormat="1" applyFont="1" applyBorder="1" applyAlignment="1">
      <alignment horizontal="center" vertical="center" wrapText="1"/>
    </xf>
    <xf numFmtId="0" fontId="0" fillId="0" borderId="8" xfId="0" applyBorder="1" applyAlignment="1">
      <alignment horizontal="center"/>
    </xf>
    <xf numFmtId="0" fontId="0" fillId="0" borderId="11" xfId="0" applyBorder="1" applyAlignment="1">
      <alignment horizontal="center"/>
    </xf>
    <xf numFmtId="0" fontId="0" fillId="0" borderId="30" xfId="0" applyBorder="1" applyAlignment="1">
      <alignment horizontal="center"/>
    </xf>
    <xf numFmtId="8" fontId="0" fillId="0" borderId="0" xfId="0" applyNumberFormat="1"/>
    <xf numFmtId="3" fontId="0" fillId="0" borderId="0" xfId="0" applyNumberFormat="1"/>
    <xf numFmtId="2" fontId="0" fillId="0" borderId="0" xfId="0" applyNumberFormat="1"/>
    <xf numFmtId="0" fontId="0" fillId="0" borderId="0" xfId="0" applyAlignment="1">
      <alignment horizontal="center" vertical="center" wrapText="1"/>
    </xf>
    <xf numFmtId="165" fontId="1" fillId="0" borderId="0" xfId="3" applyNumberFormat="1" applyFont="1" applyAlignment="1">
      <alignment horizontal="center"/>
    </xf>
    <xf numFmtId="9" fontId="0" fillId="0" borderId="0" xfId="3" applyFont="1" applyAlignment="1">
      <alignment horizontal="right"/>
    </xf>
    <xf numFmtId="0" fontId="8" fillId="0" borderId="0" xfId="0" applyFont="1" applyAlignment="1">
      <alignment horizontal="left"/>
    </xf>
    <xf numFmtId="0" fontId="8" fillId="0" borderId="0" xfId="0" applyFont="1"/>
    <xf numFmtId="0" fontId="9" fillId="0" borderId="0" xfId="7"/>
    <xf numFmtId="170" fontId="0" fillId="0" borderId="0" xfId="1" applyNumberFormat="1" applyFont="1"/>
    <xf numFmtId="0" fontId="0" fillId="0" borderId="0" xfId="0" applyAlignment="1">
      <alignment wrapText="1"/>
    </xf>
    <xf numFmtId="0" fontId="0" fillId="0" borderId="7" xfId="0" applyBorder="1" applyAlignment="1">
      <alignment horizontal="center" vertical="center" wrapText="1"/>
    </xf>
    <xf numFmtId="165" fontId="0" fillId="0" borderId="0" xfId="3" applyNumberFormat="1" applyFont="1"/>
    <xf numFmtId="171" fontId="0" fillId="0" borderId="0" xfId="2" applyNumberFormat="1" applyFont="1"/>
    <xf numFmtId="170" fontId="0" fillId="0" borderId="0" xfId="0" applyNumberFormat="1"/>
    <xf numFmtId="0" fontId="10" fillId="0" borderId="0" xfId="0" applyFont="1"/>
    <xf numFmtId="170" fontId="0" fillId="0" borderId="8" xfId="1" applyNumberFormat="1" applyFont="1" applyBorder="1" applyAlignment="1">
      <alignment horizontal="center"/>
    </xf>
    <xf numFmtId="172" fontId="0" fillId="0" borderId="8" xfId="0" applyNumberFormat="1" applyBorder="1" applyAlignment="1">
      <alignment horizontal="center"/>
    </xf>
    <xf numFmtId="0" fontId="5" fillId="0" borderId="0" xfId="0" applyFont="1"/>
    <xf numFmtId="0" fontId="5" fillId="0" borderId="0" xfId="0" applyFont="1" applyAlignment="1">
      <alignment horizontal="center"/>
    </xf>
    <xf numFmtId="3" fontId="5" fillId="0" borderId="8" xfId="0" applyNumberFormat="1" applyFont="1" applyBorder="1" applyAlignment="1">
      <alignment horizontal="center" vertical="center"/>
    </xf>
    <xf numFmtId="173" fontId="5" fillId="0" borderId="8" xfId="0" applyNumberFormat="1" applyFont="1" applyBorder="1" applyAlignment="1">
      <alignment horizontal="center"/>
    </xf>
    <xf numFmtId="0" fontId="5" fillId="0" borderId="8" xfId="0" applyFont="1" applyBorder="1"/>
    <xf numFmtId="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xf>
    <xf numFmtId="173" fontId="5" fillId="0" borderId="0" xfId="0" applyNumberFormat="1" applyFont="1" applyAlignment="1">
      <alignment horizontal="center"/>
    </xf>
    <xf numFmtId="16" fontId="5" fillId="0" borderId="8" xfId="0" quotePrefix="1" applyNumberFormat="1" applyFont="1" applyBorder="1"/>
    <xf numFmtId="0" fontId="5" fillId="0" borderId="8" xfId="0" applyFont="1" applyBorder="1" applyAlignment="1">
      <alignment horizontal="center"/>
    </xf>
    <xf numFmtId="9" fontId="5" fillId="0" borderId="8" xfId="0" applyNumberFormat="1" applyFont="1" applyBorder="1"/>
    <xf numFmtId="0" fontId="5" fillId="0" borderId="8" xfId="0" applyFont="1" applyBorder="1" applyAlignment="1">
      <alignment horizontal="left"/>
    </xf>
    <xf numFmtId="10" fontId="0" fillId="0" borderId="0" xfId="0" applyNumberFormat="1" applyAlignment="1">
      <alignment horizontal="center"/>
    </xf>
    <xf numFmtId="0" fontId="0" fillId="0" borderId="0" xfId="0" applyAlignment="1">
      <alignment horizontal="center"/>
    </xf>
    <xf numFmtId="6" fontId="0" fillId="0" borderId="0" xfId="0" applyNumberFormat="1" applyAlignment="1">
      <alignment horizontal="center"/>
    </xf>
    <xf numFmtId="3" fontId="5" fillId="0" borderId="0" xfId="0" applyNumberFormat="1" applyFont="1" applyAlignment="1">
      <alignment horizontal="center" vertical="center"/>
    </xf>
    <xf numFmtId="2" fontId="5" fillId="0" borderId="8" xfId="0" applyNumberFormat="1" applyFont="1" applyBorder="1" applyAlignment="1">
      <alignment horizontal="center"/>
    </xf>
    <xf numFmtId="6" fontId="5" fillId="0" borderId="0" xfId="0" applyNumberFormat="1" applyFont="1" applyAlignment="1">
      <alignment horizontal="center" vertical="center"/>
    </xf>
    <xf numFmtId="0" fontId="5" fillId="0" borderId="0" xfId="0" applyFont="1" applyAlignment="1">
      <alignment horizontal="center" vertical="center"/>
    </xf>
    <xf numFmtId="174" fontId="5" fillId="0" borderId="8" xfId="0" applyNumberFormat="1" applyFont="1" applyBorder="1" applyAlignment="1">
      <alignment horizontal="center"/>
    </xf>
    <xf numFmtId="2" fontId="5" fillId="0" borderId="0" xfId="0" applyNumberFormat="1" applyFont="1"/>
    <xf numFmtId="174" fontId="5" fillId="0" borderId="0" xfId="0" applyNumberFormat="1" applyFont="1"/>
    <xf numFmtId="9" fontId="5" fillId="0" borderId="0" xfId="0" applyNumberFormat="1" applyFont="1" applyAlignment="1">
      <alignment horizontal="center"/>
    </xf>
    <xf numFmtId="9" fontId="5" fillId="0" borderId="8" xfId="3" applyFont="1" applyBorder="1" applyAlignment="1">
      <alignment horizontal="center"/>
    </xf>
    <xf numFmtId="9" fontId="5" fillId="0" borderId="8" xfId="0" applyNumberFormat="1" applyFont="1" applyBorder="1" applyAlignment="1">
      <alignment horizontal="left"/>
    </xf>
    <xf numFmtId="0" fontId="5" fillId="0" borderId="8" xfId="0" applyFont="1" applyBorder="1" applyAlignment="1">
      <alignment horizontal="center" wrapText="1"/>
    </xf>
    <xf numFmtId="9" fontId="5" fillId="0" borderId="0" xfId="0" applyNumberFormat="1" applyFont="1" applyAlignment="1">
      <alignment horizontal="left"/>
    </xf>
    <xf numFmtId="9" fontId="5" fillId="0" borderId="8" xfId="0" applyNumberFormat="1" applyFont="1" applyBorder="1" applyAlignment="1">
      <alignment horizontal="center"/>
    </xf>
    <xf numFmtId="0" fontId="5" fillId="0" borderId="7" xfId="0" applyFont="1" applyBorder="1" applyAlignment="1">
      <alignment horizontal="center"/>
    </xf>
    <xf numFmtId="0" fontId="5" fillId="0" borderId="7" xfId="0" applyFont="1" applyBorder="1"/>
    <xf numFmtId="3" fontId="5" fillId="0" borderId="7" xfId="0" applyNumberFormat="1" applyFont="1" applyBorder="1" applyAlignment="1">
      <alignment horizontal="center"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11" fillId="0" borderId="0" xfId="0" applyFont="1" applyAlignment="1">
      <alignment horizontal="center" vertical="center"/>
    </xf>
    <xf numFmtId="0" fontId="4" fillId="0" borderId="5" xfId="0" applyFont="1" applyBorder="1"/>
    <xf numFmtId="9" fontId="0" fillId="0" borderId="0" xfId="0" applyNumberFormat="1" applyAlignment="1">
      <alignment horizontal="center"/>
    </xf>
    <xf numFmtId="0" fontId="4" fillId="0" borderId="4" xfId="0" applyFont="1" applyBorder="1"/>
    <xf numFmtId="0" fontId="0" fillId="0" borderId="5" xfId="0" applyBorder="1"/>
    <xf numFmtId="0" fontId="0" fillId="0" borderId="6" xfId="0" applyBorder="1"/>
    <xf numFmtId="169" fontId="0" fillId="0" borderId="0" xfId="0" applyNumberFormat="1" applyAlignment="1">
      <alignment horizontal="center"/>
    </xf>
    <xf numFmtId="3" fontId="0" fillId="0" borderId="0" xfId="0" applyNumberFormat="1" applyAlignment="1">
      <alignment horizontal="center"/>
    </xf>
    <xf numFmtId="175" fontId="0" fillId="5" borderId="8" xfId="0" applyNumberFormat="1" applyFill="1" applyBorder="1"/>
    <xf numFmtId="172" fontId="0" fillId="0" borderId="0" xfId="0" applyNumberFormat="1"/>
    <xf numFmtId="0" fontId="4" fillId="0" borderId="0" xfId="0" applyFont="1"/>
    <xf numFmtId="10" fontId="0" fillId="5" borderId="8" xfId="3" applyNumberFormat="1" applyFont="1" applyFill="1" applyBorder="1"/>
    <xf numFmtId="10" fontId="0" fillId="0" borderId="0" xfId="3" applyNumberFormat="1" applyFont="1"/>
    <xf numFmtId="164" fontId="0" fillId="0" borderId="7" xfId="0" applyNumberFormat="1" applyBorder="1"/>
    <xf numFmtId="9" fontId="0" fillId="0" borderId="7" xfId="0" applyNumberFormat="1" applyBorder="1"/>
    <xf numFmtId="0" fontId="0" fillId="0" borderId="7" xfId="0" applyBorder="1" applyAlignment="1">
      <alignment horizontal="right"/>
    </xf>
    <xf numFmtId="0" fontId="0" fillId="0" borderId="31" xfId="0" applyBorder="1" applyAlignment="1">
      <alignment horizontal="center"/>
    </xf>
    <xf numFmtId="169" fontId="0" fillId="0" borderId="35" xfId="0" applyNumberFormat="1" applyBorder="1"/>
    <xf numFmtId="174" fontId="0" fillId="0" borderId="7" xfId="0" applyNumberFormat="1" applyBorder="1"/>
    <xf numFmtId="174" fontId="0" fillId="0" borderId="0" xfId="0" applyNumberFormat="1"/>
    <xf numFmtId="169" fontId="0" fillId="5" borderId="8" xfId="0" applyNumberFormat="1" applyFill="1" applyBorder="1"/>
    <xf numFmtId="165" fontId="0" fillId="0" borderId="8" xfId="3" applyNumberFormat="1" applyFont="1" applyBorder="1" applyAlignment="1">
      <alignment horizontal="center" vertical="center"/>
    </xf>
    <xf numFmtId="173" fontId="0" fillId="0" borderId="0" xfId="0" applyNumberFormat="1"/>
    <xf numFmtId="173" fontId="0" fillId="0" borderId="7" xfId="0" applyNumberFormat="1" applyBorder="1"/>
    <xf numFmtId="173" fontId="0" fillId="0" borderId="10" xfId="0" applyNumberFormat="1" applyBorder="1" applyAlignment="1">
      <alignment horizontal="center"/>
    </xf>
    <xf numFmtId="173" fontId="0" fillId="0" borderId="7" xfId="0" applyNumberFormat="1" applyBorder="1" applyAlignment="1">
      <alignment horizontal="center"/>
    </xf>
    <xf numFmtId="173" fontId="0" fillId="0" borderId="17" xfId="0" applyNumberFormat="1" applyBorder="1" applyAlignment="1">
      <alignment horizontal="center"/>
    </xf>
    <xf numFmtId="173" fontId="0" fillId="0" borderId="12" xfId="0" applyNumberFormat="1" applyBorder="1" applyAlignment="1">
      <alignment horizontal="center"/>
    </xf>
    <xf numFmtId="173" fontId="0" fillId="0" borderId="0" xfId="0" applyNumberFormat="1" applyAlignment="1">
      <alignment horizontal="center"/>
    </xf>
    <xf numFmtId="173" fontId="0" fillId="0" borderId="18" xfId="0" applyNumberFormat="1" applyBorder="1" applyAlignment="1">
      <alignment horizontal="center"/>
    </xf>
    <xf numFmtId="0" fontId="12" fillId="0" borderId="13" xfId="0" applyFont="1" applyBorder="1"/>
    <xf numFmtId="0" fontId="12" fillId="0" borderId="0" xfId="0" applyFont="1"/>
    <xf numFmtId="173" fontId="0" fillId="0" borderId="14" xfId="0" applyNumberFormat="1" applyBorder="1" applyAlignment="1">
      <alignment horizontal="center"/>
    </xf>
    <xf numFmtId="173" fontId="0" fillId="0" borderId="15" xfId="0" applyNumberFormat="1" applyBorder="1" applyAlignment="1">
      <alignment horizontal="center"/>
    </xf>
    <xf numFmtId="173" fontId="0" fillId="0" borderId="19" xfId="0" applyNumberFormat="1" applyBorder="1" applyAlignment="1">
      <alignment horizontal="center"/>
    </xf>
    <xf numFmtId="0" fontId="4" fillId="0" borderId="12"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4" fillId="0" borderId="16" xfId="0" applyFont="1" applyBorder="1" applyAlignment="1">
      <alignment horizontal="center"/>
    </xf>
    <xf numFmtId="0" fontId="4" fillId="0" borderId="14" xfId="0" applyFont="1" applyBorder="1" applyAlignment="1">
      <alignment horizontal="center"/>
    </xf>
    <xf numFmtId="0" fontId="0" fillId="4" borderId="9" xfId="6" applyFont="1" applyBorder="1" applyAlignment="1">
      <alignment horizontal="left" indent="1"/>
    </xf>
    <xf numFmtId="4" fontId="6" fillId="7" borderId="25" xfId="0" applyNumberFormat="1" applyFont="1" applyFill="1" applyBorder="1" applyAlignment="1">
      <alignment horizontal="right" vertical="center" wrapText="1"/>
    </xf>
    <xf numFmtId="4" fontId="6" fillId="8" borderId="25" xfId="0" applyNumberFormat="1" applyFont="1" applyFill="1" applyBorder="1" applyAlignment="1">
      <alignment horizontal="right" vertical="center"/>
    </xf>
    <xf numFmtId="4" fontId="0" fillId="0" borderId="7" xfId="0" applyNumberFormat="1" applyBorder="1"/>
    <xf numFmtId="172" fontId="0" fillId="0" borderId="7" xfId="0" applyNumberFormat="1" applyBorder="1"/>
    <xf numFmtId="4" fontId="0" fillId="0" borderId="0" xfId="0" applyNumberFormat="1"/>
    <xf numFmtId="0" fontId="6" fillId="0" borderId="7" xfId="0" applyFont="1" applyBorder="1" applyAlignment="1">
      <alignment horizontal="center" vertical="center" wrapText="1"/>
    </xf>
    <xf numFmtId="164" fontId="0" fillId="0" borderId="0" xfId="0" applyNumberFormat="1" applyAlignment="1">
      <alignment horizontal="right"/>
    </xf>
    <xf numFmtId="43" fontId="0" fillId="0" borderId="0" xfId="1" applyFont="1"/>
    <xf numFmtId="43" fontId="0" fillId="0" borderId="0" xfId="0" applyNumberFormat="1"/>
    <xf numFmtId="0" fontId="4" fillId="0" borderId="0" xfId="0" applyFont="1" applyAlignment="1">
      <alignment horizontal="center" vertical="center" wrapText="1"/>
    </xf>
    <xf numFmtId="0" fontId="3" fillId="3" borderId="36" xfId="5" applyBorder="1" applyAlignment="1">
      <alignment horizontal="center"/>
    </xf>
    <xf numFmtId="0" fontId="3" fillId="3" borderId="37" xfId="5" applyBorder="1" applyAlignment="1">
      <alignment horizontal="center"/>
    </xf>
    <xf numFmtId="0" fontId="0" fillId="0" borderId="20" xfId="0" applyBorder="1" applyAlignment="1">
      <alignment horizontal="centerContinuous"/>
    </xf>
    <xf numFmtId="0" fontId="0" fillId="0" borderId="32" xfId="0" applyBorder="1" applyAlignment="1">
      <alignment horizontal="centerContinuous"/>
    </xf>
    <xf numFmtId="0" fontId="4" fillId="0" borderId="31" xfId="0" applyFont="1" applyBorder="1" applyAlignment="1">
      <alignment horizontal="centerContinuous"/>
    </xf>
    <xf numFmtId="0" fontId="4" fillId="0" borderId="8" xfId="0" applyFont="1" applyBorder="1" applyAlignment="1">
      <alignment horizontal="center" vertical="center" wrapText="1"/>
    </xf>
    <xf numFmtId="0" fontId="0" fillId="4" borderId="9" xfId="6" applyFont="1" applyBorder="1" applyAlignment="1">
      <alignment horizontal="left"/>
    </xf>
    <xf numFmtId="0" fontId="0" fillId="4" borderId="9" xfId="6" applyFont="1" applyBorder="1" applyAlignment="1">
      <alignment horizontal="left" indent="2"/>
    </xf>
    <xf numFmtId="43" fontId="0" fillId="0" borderId="17" xfId="1" applyFont="1" applyFill="1" applyBorder="1"/>
    <xf numFmtId="43" fontId="0" fillId="0" borderId="18" xfId="1" applyFont="1" applyFill="1" applyBorder="1"/>
    <xf numFmtId="170" fontId="0" fillId="0" borderId="35" xfId="1" applyNumberFormat="1" applyFont="1" applyFill="1" applyBorder="1"/>
    <xf numFmtId="170" fontId="0" fillId="0" borderId="7" xfId="1" applyNumberFormat="1" applyFont="1" applyFill="1" applyBorder="1"/>
    <xf numFmtId="170" fontId="0" fillId="0" borderId="0" xfId="1" applyNumberFormat="1" applyFont="1" applyFill="1"/>
    <xf numFmtId="0" fontId="0" fillId="0" borderId="10" xfId="0" applyBorder="1" applyAlignment="1">
      <alignment horizontal="center"/>
    </xf>
    <xf numFmtId="0" fontId="0" fillId="0" borderId="17" xfId="0" applyBorder="1" applyAlignment="1">
      <alignment horizontal="center"/>
    </xf>
    <xf numFmtId="0" fontId="0" fillId="0" borderId="20" xfId="0" applyBorder="1"/>
    <xf numFmtId="0" fontId="0" fillId="0" borderId="31" xfId="0" applyBorder="1"/>
    <xf numFmtId="0" fontId="0" fillId="4" borderId="9" xfId="6" applyFont="1" applyBorder="1" applyAlignment="1">
      <alignment horizontal="right"/>
    </xf>
    <xf numFmtId="2" fontId="0" fillId="5" borderId="8" xfId="0" applyNumberFormat="1" applyFill="1" applyBorder="1"/>
    <xf numFmtId="171" fontId="0" fillId="0" borderId="0" xfId="0" applyNumberFormat="1"/>
    <xf numFmtId="165" fontId="0" fillId="0" borderId="0" xfId="0" applyNumberFormat="1"/>
    <xf numFmtId="10" fontId="0" fillId="0" borderId="8" xfId="3" applyNumberFormat="1" applyFont="1" applyFill="1" applyBorder="1"/>
    <xf numFmtId="164" fontId="0" fillId="0" borderId="0" xfId="1" applyNumberFormat="1" applyFont="1"/>
    <xf numFmtId="170" fontId="0" fillId="0" borderId="0" xfId="0" applyNumberFormat="1" applyAlignment="1">
      <alignment horizontal="center"/>
    </xf>
    <xf numFmtId="0" fontId="0" fillId="9" borderId="7" xfId="0" applyFill="1" applyBorder="1" applyAlignment="1">
      <alignment horizontal="center"/>
    </xf>
    <xf numFmtId="164" fontId="0" fillId="0" borderId="7" xfId="1" applyNumberFormat="1" applyFont="1" applyBorder="1" applyAlignment="1">
      <alignment horizontal="center"/>
    </xf>
    <xf numFmtId="169" fontId="0" fillId="0" borderId="7" xfId="0" applyNumberFormat="1" applyBorder="1" applyAlignment="1">
      <alignment horizontal="center"/>
    </xf>
    <xf numFmtId="170" fontId="0" fillId="0" borderId="7" xfId="1" applyNumberFormat="1" applyFont="1" applyBorder="1" applyAlignment="1">
      <alignment horizontal="center"/>
    </xf>
    <xf numFmtId="0" fontId="0" fillId="0" borderId="7" xfId="0" applyBorder="1" applyAlignment="1">
      <alignment horizontal="center"/>
    </xf>
    <xf numFmtId="176" fontId="0" fillId="0" borderId="0" xfId="1" applyNumberFormat="1" applyFont="1" applyAlignment="1">
      <alignment horizontal="center"/>
    </xf>
    <xf numFmtId="164" fontId="0" fillId="0" borderId="0" xfId="1" applyNumberFormat="1" applyFont="1" applyAlignment="1">
      <alignment horizontal="center"/>
    </xf>
    <xf numFmtId="0" fontId="0" fillId="9" borderId="0" xfId="0" applyFill="1" applyAlignment="1">
      <alignment horizontal="center"/>
    </xf>
    <xf numFmtId="170" fontId="0" fillId="0" borderId="0" xfId="1" applyNumberFormat="1" applyFont="1" applyAlignment="1">
      <alignment horizontal="center"/>
    </xf>
    <xf numFmtId="169" fontId="0" fillId="0" borderId="0" xfId="1" applyNumberFormat="1" applyFont="1" applyAlignment="1">
      <alignment horizontal="center"/>
    </xf>
    <xf numFmtId="0" fontId="0" fillId="0" borderId="16" xfId="0" applyBorder="1" applyAlignment="1">
      <alignment horizontal="center"/>
    </xf>
    <xf numFmtId="173" fontId="0" fillId="5" borderId="8" xfId="0" applyNumberFormat="1" applyFill="1" applyBorder="1"/>
    <xf numFmtId="173" fontId="0" fillId="5" borderId="11" xfId="0" applyNumberFormat="1" applyFill="1" applyBorder="1"/>
    <xf numFmtId="10" fontId="0" fillId="5" borderId="8" xfId="3" applyNumberFormat="1" applyFont="1" applyFill="1" applyBorder="1" applyAlignment="1">
      <alignment horizontal="center"/>
    </xf>
    <xf numFmtId="0" fontId="5" fillId="0" borderId="0" xfId="0" applyFont="1" applyAlignment="1">
      <alignment horizontal="right"/>
    </xf>
    <xf numFmtId="172" fontId="5" fillId="0" borderId="8" xfId="0" applyNumberFormat="1" applyFont="1" applyBorder="1" applyAlignment="1">
      <alignment horizontal="center"/>
    </xf>
    <xf numFmtId="172" fontId="5" fillId="0" borderId="0" xfId="0" applyNumberFormat="1" applyFont="1" applyAlignment="1">
      <alignment horizontal="center"/>
    </xf>
    <xf numFmtId="172" fontId="5" fillId="0" borderId="11" xfId="0" applyNumberFormat="1" applyFont="1" applyBorder="1" applyAlignment="1">
      <alignment horizontal="center"/>
    </xf>
    <xf numFmtId="173" fontId="5" fillId="0" borderId="7" xfId="0" applyNumberFormat="1" applyFont="1" applyBorder="1" applyAlignment="1">
      <alignment horizontal="center"/>
    </xf>
    <xf numFmtId="165" fontId="5" fillId="0" borderId="7" xfId="3" applyNumberFormat="1" applyFont="1" applyBorder="1" applyAlignment="1">
      <alignment horizontal="center"/>
    </xf>
    <xf numFmtId="2" fontId="5" fillId="0" borderId="7" xfId="0" applyNumberFormat="1" applyFont="1" applyBorder="1" applyAlignment="1">
      <alignment horizontal="center"/>
    </xf>
    <xf numFmtId="172" fontId="5" fillId="0" borderId="13" xfId="0" applyNumberFormat="1" applyFont="1" applyBorder="1" applyAlignment="1">
      <alignment horizontal="center"/>
    </xf>
    <xf numFmtId="165" fontId="5" fillId="0" borderId="0" xfId="3" applyNumberFormat="1" applyFont="1" applyAlignment="1">
      <alignment horizontal="center"/>
    </xf>
    <xf numFmtId="2" fontId="5" fillId="0" borderId="0" xfId="0" applyNumberFormat="1" applyFont="1" applyAlignment="1">
      <alignment horizontal="center"/>
    </xf>
    <xf numFmtId="172" fontId="5" fillId="0" borderId="16" xfId="0" applyNumberFormat="1" applyFont="1" applyBorder="1" applyAlignment="1">
      <alignment horizontal="center"/>
    </xf>
    <xf numFmtId="0" fontId="5" fillId="0" borderId="11" xfId="0" applyFont="1" applyBorder="1" applyAlignment="1">
      <alignment horizontal="center"/>
    </xf>
    <xf numFmtId="0" fontId="5" fillId="0" borderId="16" xfId="0" applyFont="1" applyBorder="1" applyAlignment="1">
      <alignment horizontal="center"/>
    </xf>
    <xf numFmtId="172" fontId="5" fillId="0" borderId="0" xfId="0" applyNumberFormat="1" applyFont="1"/>
    <xf numFmtId="0" fontId="5" fillId="0" borderId="13" xfId="0" applyFont="1" applyBorder="1" applyAlignment="1">
      <alignment horizontal="center"/>
    </xf>
    <xf numFmtId="6" fontId="5" fillId="0" borderId="0" xfId="0" applyNumberFormat="1" applyFont="1"/>
    <xf numFmtId="165" fontId="5" fillId="0" borderId="0" xfId="0" applyNumberFormat="1" applyFont="1"/>
    <xf numFmtId="176" fontId="5" fillId="0" borderId="0" xfId="1" applyNumberFormat="1" applyFont="1" applyFill="1"/>
    <xf numFmtId="176" fontId="5" fillId="0" borderId="0" xfId="1" applyNumberFormat="1" applyFont="1"/>
    <xf numFmtId="170" fontId="5" fillId="0" borderId="0" xfId="1" applyNumberFormat="1" applyFont="1" applyFill="1"/>
    <xf numFmtId="165" fontId="5" fillId="0" borderId="0" xfId="0" applyNumberFormat="1" applyFont="1" applyAlignment="1">
      <alignment horizontal="center"/>
    </xf>
    <xf numFmtId="0" fontId="5" fillId="0" borderId="11" xfId="0" applyFont="1" applyBorder="1" applyAlignment="1">
      <alignment horizontal="center" vertical="center"/>
    </xf>
    <xf numFmtId="175" fontId="0" fillId="5" borderId="8" xfId="0" applyNumberFormat="1" applyFill="1" applyBorder="1" applyAlignment="1">
      <alignment horizontal="center"/>
    </xf>
    <xf numFmtId="173" fontId="0" fillId="5" borderId="8" xfId="0" applyNumberFormat="1" applyFill="1" applyBorder="1" applyAlignment="1">
      <alignment horizontal="center"/>
    </xf>
    <xf numFmtId="165" fontId="0" fillId="0" borderId="7" xfId="0" applyNumberFormat="1" applyBorder="1" applyAlignment="1">
      <alignment horizontal="center"/>
    </xf>
    <xf numFmtId="165" fontId="0" fillId="0" borderId="7" xfId="3" applyNumberFormat="1" applyFont="1" applyBorder="1" applyAlignment="1">
      <alignment horizontal="center"/>
    </xf>
    <xf numFmtId="165" fontId="0" fillId="0" borderId="0" xfId="0" applyNumberFormat="1" applyAlignment="1">
      <alignment horizontal="center"/>
    </xf>
    <xf numFmtId="165" fontId="0" fillId="0" borderId="0" xfId="3" applyNumberFormat="1" applyFont="1" applyAlignment="1">
      <alignment horizontal="center"/>
    </xf>
    <xf numFmtId="10" fontId="0" fillId="0" borderId="7" xfId="0" applyNumberFormat="1" applyBorder="1" applyAlignment="1">
      <alignment horizontal="center"/>
    </xf>
    <xf numFmtId="6" fontId="0" fillId="0" borderId="7" xfId="0" applyNumberFormat="1" applyBorder="1" applyAlignment="1">
      <alignment horizontal="center"/>
    </xf>
    <xf numFmtId="165" fontId="0" fillId="5" borderId="8" xfId="3" applyNumberFormat="1" applyFont="1" applyFill="1" applyBorder="1" applyAlignment="1">
      <alignment horizontal="center"/>
    </xf>
    <xf numFmtId="173" fontId="5" fillId="10" borderId="7" xfId="0" applyNumberFormat="1" applyFont="1" applyFill="1" applyBorder="1" applyAlignment="1">
      <alignment horizontal="center"/>
    </xf>
    <xf numFmtId="173" fontId="5" fillId="10" borderId="0" xfId="0" applyNumberFormat="1" applyFont="1" applyFill="1" applyAlignment="1">
      <alignment horizontal="center"/>
    </xf>
    <xf numFmtId="176" fontId="5" fillId="0" borderId="0" xfId="1" applyNumberFormat="1" applyFont="1" applyAlignment="1">
      <alignment horizontal="center"/>
    </xf>
    <xf numFmtId="169" fontId="0" fillId="5" borderId="8" xfId="0" applyNumberFormat="1" applyFill="1" applyBorder="1" applyAlignment="1">
      <alignment horizontal="center"/>
    </xf>
    <xf numFmtId="0" fontId="0" fillId="0" borderId="8" xfId="0" applyBorder="1" applyAlignment="1">
      <alignment horizontal="left"/>
    </xf>
    <xf numFmtId="0" fontId="10" fillId="4" borderId="9" xfId="6" applyFont="1" applyBorder="1"/>
    <xf numFmtId="0" fontId="4" fillId="0" borderId="8" xfId="0" applyFont="1" applyBorder="1" applyAlignment="1">
      <alignment horizontal="center"/>
    </xf>
    <xf numFmtId="0" fontId="4" fillId="0" borderId="8" xfId="0" applyFont="1" applyBorder="1" applyAlignment="1">
      <alignment horizontal="left"/>
    </xf>
    <xf numFmtId="169" fontId="0" fillId="0" borderId="7" xfId="0" applyNumberFormat="1" applyBorder="1"/>
    <xf numFmtId="164" fontId="0" fillId="5" borderId="8" xfId="0" applyNumberFormat="1" applyFill="1" applyBorder="1" applyAlignment="1">
      <alignment horizontal="right"/>
    </xf>
    <xf numFmtId="0" fontId="8" fillId="0" borderId="0" xfId="0" applyFont="1" applyAlignment="1">
      <alignment horizontal="center"/>
    </xf>
    <xf numFmtId="0" fontId="0" fillId="0" borderId="12" xfId="0" applyBorder="1"/>
    <xf numFmtId="164" fontId="0" fillId="0" borderId="38" xfId="0" applyNumberFormat="1" applyBorder="1"/>
    <xf numFmtId="164" fontId="0" fillId="0" borderId="39" xfId="0" applyNumberFormat="1" applyBorder="1"/>
    <xf numFmtId="3" fontId="0" fillId="0" borderId="40" xfId="0" applyNumberFormat="1" applyBorder="1"/>
    <xf numFmtId="164" fontId="0" fillId="0" borderId="41" xfId="0" applyNumberFormat="1" applyBorder="1"/>
    <xf numFmtId="3" fontId="0" fillId="0" borderId="42" xfId="0" applyNumberFormat="1" applyBorder="1"/>
    <xf numFmtId="164" fontId="0" fillId="0" borderId="43" xfId="0" applyNumberFormat="1" applyBorder="1"/>
    <xf numFmtId="3" fontId="0" fillId="0" borderId="44" xfId="0" applyNumberFormat="1" applyBorder="1"/>
    <xf numFmtId="164" fontId="0" fillId="0" borderId="45" xfId="0" applyNumberFormat="1" applyBorder="1"/>
    <xf numFmtId="164" fontId="0" fillId="0" borderId="46" xfId="0" applyNumberFormat="1" applyBorder="1"/>
    <xf numFmtId="3" fontId="0" fillId="0" borderId="47" xfId="0" applyNumberFormat="1" applyBorder="1"/>
    <xf numFmtId="0" fontId="0" fillId="0" borderId="15" xfId="0" applyBorder="1" applyAlignment="1">
      <alignment horizontal="center"/>
    </xf>
    <xf numFmtId="0" fontId="0" fillId="0" borderId="32" xfId="0" applyBorder="1"/>
    <xf numFmtId="164" fontId="0" fillId="5" borderId="8" xfId="0" applyNumberFormat="1" applyFill="1" applyBorder="1" applyAlignment="1">
      <alignment horizontal="center"/>
    </xf>
    <xf numFmtId="164" fontId="0" fillId="0" borderId="25" xfId="0" applyNumberFormat="1" applyBorder="1"/>
    <xf numFmtId="164" fontId="0" fillId="0" borderId="48" xfId="0" applyNumberFormat="1" applyBorder="1"/>
    <xf numFmtId="3" fontId="0" fillId="0" borderId="49" xfId="0" applyNumberFormat="1" applyBorder="1"/>
    <xf numFmtId="0" fontId="0" fillId="0" borderId="0" xfId="0" applyAlignment="1">
      <alignment horizontal="center" vertical="center"/>
    </xf>
    <xf numFmtId="169" fontId="0" fillId="0" borderId="8" xfId="0" applyNumberFormat="1" applyBorder="1" applyAlignment="1">
      <alignment horizontal="center"/>
    </xf>
    <xf numFmtId="169" fontId="0" fillId="0" borderId="8" xfId="0" applyNumberFormat="1" applyBorder="1" applyAlignment="1">
      <alignment horizontal="center" vertical="center"/>
    </xf>
    <xf numFmtId="0" fontId="1" fillId="0" borderId="0" xfId="0" applyFont="1"/>
    <xf numFmtId="0" fontId="1" fillId="0" borderId="7" xfId="0" applyFont="1" applyBorder="1"/>
    <xf numFmtId="164" fontId="1" fillId="11" borderId="25" xfId="0" applyNumberFormat="1" applyFont="1" applyFill="1" applyBorder="1" applyAlignment="1">
      <alignment horizontal="center" vertical="center" wrapText="1"/>
    </xf>
    <xf numFmtId="6" fontId="1" fillId="0" borderId="25" xfId="0" applyNumberFormat="1" applyFont="1" applyBorder="1" applyAlignment="1">
      <alignment horizontal="center" vertical="center" wrapText="1"/>
    </xf>
    <xf numFmtId="169" fontId="1" fillId="0" borderId="25"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164" fontId="1" fillId="0" borderId="25" xfId="0" applyNumberFormat="1" applyFont="1" applyBorder="1" applyAlignment="1">
      <alignment horizontal="center" vertical="center" wrapText="1"/>
    </xf>
    <xf numFmtId="1" fontId="1" fillId="11" borderId="25"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0" xfId="0" applyFont="1" applyBorder="1" applyAlignment="1">
      <alignment horizontal="center" vertical="center" wrapText="1"/>
    </xf>
    <xf numFmtId="164" fontId="1" fillId="0" borderId="0" xfId="0" applyNumberFormat="1" applyFont="1"/>
    <xf numFmtId="165" fontId="1" fillId="0" borderId="0" xfId="3" applyNumberFormat="1" applyFont="1"/>
    <xf numFmtId="164" fontId="1" fillId="5" borderId="8" xfId="0" applyNumberFormat="1" applyFont="1" applyFill="1" applyBorder="1"/>
    <xf numFmtId="0" fontId="1" fillId="5" borderId="8" xfId="0" applyFont="1" applyFill="1" applyBorder="1"/>
    <xf numFmtId="0" fontId="1" fillId="4" borderId="9" xfId="6" applyFont="1" applyBorder="1"/>
    <xf numFmtId="0" fontId="1" fillId="0" borderId="4" xfId="0" applyFont="1" applyBorder="1"/>
    <xf numFmtId="5" fontId="0" fillId="0" borderId="0" xfId="0" applyNumberFormat="1"/>
    <xf numFmtId="7" fontId="0" fillId="0" borderId="0" xfId="0" applyNumberFormat="1"/>
    <xf numFmtId="14" fontId="0" fillId="0" borderId="0" xfId="0" applyNumberFormat="1"/>
    <xf numFmtId="9" fontId="0" fillId="0" borderId="0" xfId="0" applyNumberFormat="1" applyAlignment="1">
      <alignment horizontal="center" vertical="center" wrapText="1"/>
    </xf>
    <xf numFmtId="6" fontId="0" fillId="0" borderId="0" xfId="0" applyNumberFormat="1" applyAlignment="1">
      <alignment horizontal="center" vertical="center" wrapText="1"/>
    </xf>
    <xf numFmtId="0" fontId="4" fillId="0" borderId="46" xfId="0" applyFont="1" applyBorder="1" applyAlignment="1">
      <alignment horizontal="center"/>
    </xf>
    <xf numFmtId="170" fontId="0" fillId="0" borderId="0" xfId="1" applyNumberFormat="1" applyFont="1" applyAlignment="1">
      <alignment horizontal="left"/>
    </xf>
    <xf numFmtId="170" fontId="0" fillId="0" borderId="0" xfId="0" applyNumberFormat="1" applyAlignment="1">
      <alignment horizontal="left"/>
    </xf>
    <xf numFmtId="0" fontId="0" fillId="5" borderId="20" xfId="0" applyFill="1" applyBorder="1"/>
    <xf numFmtId="0" fontId="0" fillId="5" borderId="32" xfId="0" applyFill="1" applyBorder="1"/>
    <xf numFmtId="0" fontId="0" fillId="5" borderId="31" xfId="0" applyFill="1" applyBorder="1"/>
    <xf numFmtId="6" fontId="0" fillId="0" borderId="8" xfId="0" applyNumberFormat="1" applyBorder="1" applyAlignment="1">
      <alignment horizontal="center"/>
    </xf>
    <xf numFmtId="169" fontId="0" fillId="12" borderId="8" xfId="0" applyNumberFormat="1" applyFill="1" applyBorder="1"/>
    <xf numFmtId="0" fontId="0" fillId="12" borderId="8" xfId="0" applyFill="1" applyBorder="1" applyAlignment="1">
      <alignment horizontal="center" vertical="center"/>
    </xf>
    <xf numFmtId="169" fontId="0" fillId="12" borderId="8" xfId="0" applyNumberFormat="1" applyFill="1" applyBorder="1" applyAlignment="1">
      <alignment horizontal="center" vertical="center"/>
    </xf>
    <xf numFmtId="177" fontId="1" fillId="0" borderId="0" xfId="0" applyNumberFormat="1" applyFont="1"/>
    <xf numFmtId="172" fontId="1" fillId="0" borderId="0" xfId="0" applyNumberFormat="1" applyFont="1"/>
    <xf numFmtId="1" fontId="1" fillId="0" borderId="25" xfId="0" applyNumberFormat="1" applyFont="1" applyBorder="1" applyAlignment="1">
      <alignment horizontal="center" vertical="center" wrapText="1"/>
    </xf>
    <xf numFmtId="164" fontId="1" fillId="5" borderId="8" xfId="0" applyNumberFormat="1" applyFont="1" applyFill="1" applyBorder="1" applyAlignment="1">
      <alignment horizont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169" fontId="1" fillId="0" borderId="0" xfId="0" applyNumberFormat="1" applyFont="1"/>
    <xf numFmtId="169" fontId="1" fillId="0" borderId="18" xfId="0" applyNumberFormat="1" applyFont="1" applyBorder="1"/>
    <xf numFmtId="0" fontId="0" fillId="0" borderId="17" xfId="0" applyBorder="1" applyAlignment="1">
      <alignment horizontal="center" vertical="center" wrapText="1"/>
    </xf>
    <xf numFmtId="0" fontId="1" fillId="0" borderId="18" xfId="0" applyFont="1" applyBorder="1"/>
    <xf numFmtId="170" fontId="1" fillId="5" borderId="8" xfId="1" applyNumberFormat="1" applyFont="1" applyFill="1" applyBorder="1"/>
    <xf numFmtId="0" fontId="1" fillId="0" borderId="0" xfId="0" applyFont="1" applyAlignment="1">
      <alignment horizontal="center"/>
    </xf>
    <xf numFmtId="44" fontId="0" fillId="0" borderId="0" xfId="0" applyNumberFormat="1"/>
    <xf numFmtId="44" fontId="0" fillId="0" borderId="0" xfId="2" applyFont="1"/>
    <xf numFmtId="0" fontId="4" fillId="0" borderId="7" xfId="0" applyFont="1" applyBorder="1" applyAlignment="1">
      <alignment horizontal="centerContinuous"/>
    </xf>
    <xf numFmtId="0" fontId="0" fillId="0" borderId="0" xfId="0" applyAlignment="1">
      <alignment horizontal="left" indent="1"/>
    </xf>
    <xf numFmtId="0" fontId="14" fillId="0" borderId="0" xfId="0" applyFont="1"/>
    <xf numFmtId="8" fontId="0" fillId="0" borderId="0" xfId="0" applyNumberFormat="1" applyAlignment="1">
      <alignment horizontal="centerContinuous"/>
    </xf>
    <xf numFmtId="0" fontId="0" fillId="0" borderId="0" xfId="0" applyAlignment="1">
      <alignment horizontal="centerContinuous" wrapText="1"/>
    </xf>
    <xf numFmtId="0" fontId="0" fillId="0" borderId="0" xfId="0" applyAlignment="1">
      <alignment horizontal="left" wrapText="1"/>
    </xf>
    <xf numFmtId="0" fontId="15" fillId="0" borderId="0" xfId="0" applyFont="1" applyAlignment="1">
      <alignment vertical="center"/>
    </xf>
    <xf numFmtId="0" fontId="0" fillId="0" borderId="0" xfId="0" applyAlignment="1">
      <alignment vertical="center"/>
    </xf>
    <xf numFmtId="178" fontId="0" fillId="0" borderId="0" xfId="0" applyNumberFormat="1"/>
    <xf numFmtId="8" fontId="16" fillId="0" borderId="8" xfId="0" applyNumberFormat="1" applyFont="1" applyBorder="1" applyAlignment="1">
      <alignment horizontal="center" vertical="center"/>
    </xf>
    <xf numFmtId="179" fontId="16" fillId="0" borderId="8" xfId="0" applyNumberFormat="1" applyFont="1" applyBorder="1" applyAlignment="1">
      <alignment horizontal="center" vertical="center"/>
    </xf>
    <xf numFmtId="10" fontId="16" fillId="0" borderId="8" xfId="8" applyNumberFormat="1" applyFont="1" applyBorder="1" applyAlignment="1">
      <alignment horizontal="right" vertical="center"/>
    </xf>
    <xf numFmtId="0" fontId="16" fillId="0" borderId="8" xfId="0" applyFont="1" applyBorder="1" applyAlignment="1">
      <alignment vertical="center"/>
    </xf>
    <xf numFmtId="178" fontId="0" fillId="0" borderId="8" xfId="9" applyNumberFormat="1" applyFont="1" applyBorder="1"/>
    <xf numFmtId="0" fontId="16" fillId="0" borderId="8" xfId="0" applyFont="1" applyBorder="1" applyAlignment="1">
      <alignment horizontal="center" vertical="center"/>
    </xf>
    <xf numFmtId="0" fontId="0" fillId="0" borderId="0" xfId="0" quotePrefix="1" applyAlignment="1">
      <alignment horizontal="center"/>
    </xf>
    <xf numFmtId="0" fontId="4" fillId="0" borderId="0" xfId="0" quotePrefix="1" applyFont="1" applyAlignment="1">
      <alignment horizontal="center"/>
    </xf>
    <xf numFmtId="0" fontId="0" fillId="0" borderId="0" xfId="0" quotePrefix="1"/>
    <xf numFmtId="0" fontId="15" fillId="0" borderId="0" xfId="0" applyFont="1"/>
    <xf numFmtId="0" fontId="17" fillId="0" borderId="0" xfId="10" applyFont="1"/>
    <xf numFmtId="169" fontId="17" fillId="0" borderId="0" xfId="10" applyNumberFormat="1" applyFont="1"/>
    <xf numFmtId="0" fontId="15" fillId="11" borderId="0" xfId="0" applyFont="1" applyFill="1"/>
    <xf numFmtId="0" fontId="15" fillId="11" borderId="0" xfId="0" quotePrefix="1" applyFont="1" applyFill="1" applyAlignment="1">
      <alignment horizontal="left" vertical="center"/>
    </xf>
    <xf numFmtId="0" fontId="15" fillId="11" borderId="0" xfId="0" quotePrefix="1" applyFont="1" applyFill="1" applyAlignment="1">
      <alignment horizontal="left"/>
    </xf>
    <xf numFmtId="6" fontId="15" fillId="11" borderId="0" xfId="0" applyNumberFormat="1" applyFont="1" applyFill="1"/>
    <xf numFmtId="0" fontId="17" fillId="0" borderId="0" xfId="0" applyFont="1"/>
    <xf numFmtId="0" fontId="18" fillId="11" borderId="0" xfId="0" quotePrefix="1" applyFont="1" applyFill="1" applyAlignment="1">
      <alignment horizontal="left"/>
    </xf>
    <xf numFmtId="0" fontId="17" fillId="0" borderId="0" xfId="0" applyFont="1" applyAlignment="1">
      <alignment horizontal="center" vertical="center"/>
    </xf>
    <xf numFmtId="0" fontId="19" fillId="0" borderId="0" xfId="0" applyFont="1" applyAlignment="1">
      <alignment horizontal="center" vertical="center"/>
    </xf>
    <xf numFmtId="169" fontId="1" fillId="0" borderId="0" xfId="0" applyNumberFormat="1" applyFont="1" applyAlignment="1">
      <alignment horizontal="center"/>
    </xf>
    <xf numFmtId="0" fontId="1" fillId="0" borderId="0" xfId="0" applyFont="1" applyAlignment="1">
      <alignment horizontal="center" vertical="center" wrapText="1"/>
    </xf>
    <xf numFmtId="0" fontId="1" fillId="0" borderId="8" xfId="0" applyFont="1" applyBorder="1"/>
    <xf numFmtId="14" fontId="1" fillId="0" borderId="0" xfId="0" applyNumberFormat="1" applyFont="1"/>
    <xf numFmtId="3" fontId="1" fillId="0" borderId="0" xfId="0" applyNumberFormat="1" applyFont="1"/>
    <xf numFmtId="9" fontId="1" fillId="0" borderId="0" xfId="3" applyFont="1"/>
    <xf numFmtId="0" fontId="0" fillId="0" borderId="0" xfId="0" quotePrefix="1" applyAlignment="1">
      <alignment horizontal="left" indent="1"/>
    </xf>
    <xf numFmtId="176" fontId="0" fillId="0" borderId="7" xfId="0" applyNumberFormat="1" applyBorder="1"/>
    <xf numFmtId="176" fontId="0" fillId="0" borderId="7" xfId="1" applyNumberFormat="1" applyFont="1" applyBorder="1"/>
    <xf numFmtId="176" fontId="0" fillId="0" borderId="0" xfId="1" applyNumberFormat="1" applyFont="1"/>
    <xf numFmtId="176" fontId="0" fillId="0" borderId="0" xfId="0" applyNumberFormat="1"/>
    <xf numFmtId="169" fontId="17" fillId="13" borderId="4" xfId="10" applyNumberFormat="1" applyFont="1" applyFill="1" applyBorder="1"/>
    <xf numFmtId="0" fontId="17" fillId="13" borderId="5" xfId="10" applyFont="1" applyFill="1" applyBorder="1"/>
    <xf numFmtId="0" fontId="17" fillId="13" borderId="6" xfId="10" applyFont="1" applyFill="1" applyBorder="1"/>
    <xf numFmtId="0" fontId="20" fillId="0" borderId="0" xfId="0" applyFont="1" applyAlignment="1">
      <alignment vertical="center" wrapText="1"/>
    </xf>
    <xf numFmtId="169" fontId="17" fillId="0" borderId="0" xfId="11" applyNumberFormat="1"/>
    <xf numFmtId="180" fontId="21" fillId="0" borderId="0" xfId="10" applyNumberFormat="1" applyFont="1"/>
    <xf numFmtId="6" fontId="17" fillId="0" borderId="0" xfId="10" applyNumberFormat="1" applyFont="1"/>
    <xf numFmtId="9" fontId="17" fillId="0" borderId="0" xfId="10" applyNumberFormat="1" applyFont="1"/>
    <xf numFmtId="180" fontId="17" fillId="0" borderId="0" xfId="10" applyNumberFormat="1" applyFont="1"/>
    <xf numFmtId="169" fontId="21" fillId="0" borderId="0" xfId="10" applyNumberFormat="1" applyFont="1"/>
    <xf numFmtId="0" fontId="1" fillId="0" borderId="11" xfId="0" applyFont="1" applyBorder="1" applyAlignment="1">
      <alignment horizontal="center"/>
    </xf>
    <xf numFmtId="0" fontId="1" fillId="0" borderId="8" xfId="0" applyFont="1" applyBorder="1" applyAlignment="1">
      <alignment horizontal="center"/>
    </xf>
    <xf numFmtId="0" fontId="1" fillId="0" borderId="16" xfId="0" applyFont="1" applyBorder="1" applyAlignment="1">
      <alignment horizontal="center"/>
    </xf>
    <xf numFmtId="0" fontId="22" fillId="0" borderId="0" xfId="0" applyFont="1"/>
    <xf numFmtId="0" fontId="23" fillId="0" borderId="0" xfId="0" applyFont="1"/>
    <xf numFmtId="0" fontId="22" fillId="0" borderId="0" xfId="0" quotePrefix="1" applyFont="1"/>
    <xf numFmtId="169" fontId="22" fillId="0" borderId="0" xfId="0" quotePrefix="1" applyNumberFormat="1" applyFont="1"/>
    <xf numFmtId="6" fontId="22" fillId="0" borderId="0" xfId="0" applyNumberFormat="1" applyFont="1"/>
    <xf numFmtId="169" fontId="22" fillId="0" borderId="8" xfId="0" applyNumberFormat="1" applyFont="1" applyBorder="1"/>
    <xf numFmtId="170" fontId="22" fillId="0" borderId="8" xfId="1" applyNumberFormat="1" applyFont="1" applyFill="1" applyBorder="1"/>
    <xf numFmtId="1" fontId="22" fillId="0" borderId="8" xfId="0" applyNumberFormat="1" applyFont="1" applyBorder="1" applyAlignment="1">
      <alignment horizontal="center"/>
    </xf>
    <xf numFmtId="14" fontId="22" fillId="0" borderId="8" xfId="0" applyNumberFormat="1" applyFont="1" applyBorder="1" applyAlignment="1">
      <alignment horizontal="center"/>
    </xf>
    <xf numFmtId="0" fontId="22" fillId="0" borderId="8" xfId="0" applyFont="1" applyBorder="1" applyAlignment="1">
      <alignment horizontal="center"/>
    </xf>
    <xf numFmtId="0" fontId="24" fillId="0" borderId="8" xfId="0" applyFont="1" applyBorder="1" applyAlignment="1">
      <alignment horizontal="center" wrapText="1" shrinkToFit="1"/>
    </xf>
    <xf numFmtId="0" fontId="24" fillId="0" borderId="8" xfId="0" quotePrefix="1" applyFont="1" applyBorder="1" applyAlignment="1">
      <alignment horizontal="center" wrapText="1"/>
    </xf>
    <xf numFmtId="0" fontId="24" fillId="0" borderId="8" xfId="0" applyFont="1" applyBorder="1" applyAlignment="1">
      <alignment horizontal="center" wrapText="1"/>
    </xf>
    <xf numFmtId="0" fontId="24" fillId="0" borderId="0" xfId="0" quotePrefix="1" applyFont="1" applyAlignment="1">
      <alignment horizontal="left"/>
    </xf>
    <xf numFmtId="14" fontId="24" fillId="0" borderId="0" xfId="0" applyNumberFormat="1" applyFont="1"/>
    <xf numFmtId="0" fontId="24" fillId="0" borderId="0" xfId="0" applyFont="1"/>
    <xf numFmtId="0" fontId="24" fillId="0" borderId="0" xfId="0" applyFont="1" applyAlignment="1">
      <alignment horizontal="left"/>
    </xf>
    <xf numFmtId="6" fontId="24" fillId="0" borderId="20" xfId="0" applyNumberFormat="1" applyFont="1" applyBorder="1"/>
    <xf numFmtId="6" fontId="24" fillId="0" borderId="31" xfId="0" applyNumberFormat="1" applyFont="1" applyBorder="1"/>
    <xf numFmtId="6" fontId="24" fillId="0" borderId="32" xfId="0" applyNumberFormat="1" applyFont="1" applyBorder="1"/>
    <xf numFmtId="0" fontId="24" fillId="0" borderId="11" xfId="0" applyFont="1" applyBorder="1"/>
    <xf numFmtId="6" fontId="22" fillId="0" borderId="10" xfId="0" applyNumberFormat="1" applyFont="1" applyBorder="1"/>
    <xf numFmtId="6" fontId="22" fillId="0" borderId="17" xfId="0" applyNumberFormat="1" applyFont="1" applyBorder="1"/>
    <xf numFmtId="6" fontId="22" fillId="0" borderId="7" xfId="0" applyNumberFormat="1" applyFont="1" applyBorder="1"/>
    <xf numFmtId="0" fontId="22" fillId="0" borderId="11" xfId="0" applyFont="1" applyBorder="1"/>
    <xf numFmtId="6" fontId="22" fillId="0" borderId="14" xfId="0" applyNumberFormat="1" applyFont="1" applyBorder="1"/>
    <xf numFmtId="6" fontId="22" fillId="0" borderId="19" xfId="0" applyNumberFormat="1" applyFont="1" applyBorder="1"/>
    <xf numFmtId="6" fontId="22" fillId="0" borderId="15" xfId="0" applyNumberFormat="1" applyFont="1" applyBorder="1"/>
    <xf numFmtId="0" fontId="22" fillId="0" borderId="13" xfId="0" applyFont="1" applyBorder="1"/>
    <xf numFmtId="0" fontId="22" fillId="0" borderId="20" xfId="0" applyFont="1" applyBorder="1" applyAlignment="1">
      <alignment horizontal="center"/>
    </xf>
    <xf numFmtId="0" fontId="22" fillId="0" borderId="31" xfId="0" applyFont="1" applyBorder="1" applyAlignment="1">
      <alignment horizontal="center"/>
    </xf>
    <xf numFmtId="0" fontId="22" fillId="0" borderId="10" xfId="0" applyFont="1" applyBorder="1" applyAlignment="1">
      <alignment horizontal="center"/>
    </xf>
    <xf numFmtId="0" fontId="22" fillId="0" borderId="17" xfId="0" applyFont="1" applyBorder="1" applyAlignment="1">
      <alignment horizontal="center"/>
    </xf>
    <xf numFmtId="0" fontId="22" fillId="0" borderId="20" xfId="0" applyFont="1" applyBorder="1" applyAlignment="1">
      <alignment horizontal="centerContinuous"/>
    </xf>
    <xf numFmtId="0" fontId="22" fillId="0" borderId="31" xfId="0" applyFont="1" applyBorder="1" applyAlignment="1">
      <alignment horizontal="centerContinuous"/>
    </xf>
    <xf numFmtId="0" fontId="22" fillId="0" borderId="16" xfId="0" applyFont="1" applyBorder="1"/>
    <xf numFmtId="0" fontId="4" fillId="0" borderId="6"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0" fillId="0" borderId="0" xfId="0" applyAlignment="1">
      <alignment horizontal="left" vertical="top"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20" xfId="0" applyBorder="1" applyAlignment="1">
      <alignment horizontal="center" vertical="center" wrapText="1"/>
    </xf>
    <xf numFmtId="0" fontId="0" fillId="0" borderId="31" xfId="0" applyBorder="1" applyAlignment="1">
      <alignment horizontal="center"/>
    </xf>
    <xf numFmtId="0" fontId="0" fillId="0" borderId="32" xfId="0" applyBorder="1" applyAlignment="1">
      <alignment horizontal="center"/>
    </xf>
    <xf numFmtId="0" fontId="0" fillId="0" borderId="20" xfId="0" applyBorder="1" applyAlignment="1">
      <alignment horizontal="center"/>
    </xf>
    <xf numFmtId="0" fontId="7" fillId="6" borderId="29"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0" fillId="0" borderId="8"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0" borderId="34" xfId="0" applyFont="1" applyBorder="1" applyAlignment="1">
      <alignment horizontal="center" vertical="center"/>
    </xf>
    <xf numFmtId="0" fontId="11" fillId="0" borderId="33" xfId="0" applyFont="1" applyBorder="1" applyAlignment="1">
      <alignment horizontal="center" vertical="center"/>
    </xf>
    <xf numFmtId="0" fontId="5" fillId="0" borderId="31" xfId="0" applyFont="1" applyBorder="1" applyAlignment="1">
      <alignment horizontal="center"/>
    </xf>
    <xf numFmtId="0" fontId="5" fillId="0" borderId="20" xfId="0" applyFont="1" applyBorder="1" applyAlignment="1">
      <alignment horizontal="center"/>
    </xf>
    <xf numFmtId="0" fontId="5" fillId="0" borderId="32" xfId="0" applyFont="1" applyBorder="1" applyAlignment="1">
      <alignment horizontal="center"/>
    </xf>
    <xf numFmtId="9" fontId="5" fillId="0" borderId="8" xfId="0" applyNumberFormat="1" applyFont="1" applyBorder="1" applyAlignment="1">
      <alignment horizontal="left"/>
    </xf>
    <xf numFmtId="9" fontId="5" fillId="0" borderId="8" xfId="0" applyNumberFormat="1" applyFont="1" applyBorder="1" applyAlignment="1">
      <alignment horizontal="center"/>
    </xf>
    <xf numFmtId="0" fontId="5" fillId="0" borderId="8" xfId="0" applyFont="1" applyBorder="1" applyAlignment="1">
      <alignment horizontal="center" vertical="center"/>
    </xf>
    <xf numFmtId="0" fontId="4" fillId="0" borderId="7" xfId="0" applyFont="1" applyBorder="1" applyAlignment="1">
      <alignment horizontal="center"/>
    </xf>
    <xf numFmtId="0" fontId="8" fillId="0" borderId="7" xfId="0" applyFont="1" applyBorder="1" applyAlignment="1">
      <alignment horizont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wrapText="1"/>
    </xf>
    <xf numFmtId="0" fontId="0" fillId="0" borderId="7" xfId="0" applyBorder="1" applyAlignment="1">
      <alignment horizont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1" fillId="0" borderId="7" xfId="0" applyFont="1" applyBorder="1" applyAlignment="1">
      <alignment horizontal="center"/>
    </xf>
    <xf numFmtId="0" fontId="1" fillId="0" borderId="8" xfId="0" applyFont="1" applyBorder="1" applyAlignment="1">
      <alignment horizontal="center"/>
    </xf>
    <xf numFmtId="0" fontId="25" fillId="0" borderId="0" xfId="0" applyFont="1" applyAlignment="1">
      <alignment horizontal="center"/>
    </xf>
    <xf numFmtId="0" fontId="26" fillId="0" borderId="0" xfId="0" applyFont="1"/>
    <xf numFmtId="0" fontId="27" fillId="0" borderId="0" xfId="0" applyFont="1" applyAlignment="1">
      <alignment horizontal="center"/>
    </xf>
    <xf numFmtId="0" fontId="0" fillId="0" borderId="0" xfId="0" applyAlignment="1">
      <alignment horizontal="right" vertical="top" indent="1"/>
    </xf>
    <xf numFmtId="0" fontId="28" fillId="0" borderId="0" xfId="0" applyFont="1" applyAlignment="1">
      <alignment horizontal="left" wrapText="1"/>
    </xf>
    <xf numFmtId="0" fontId="28" fillId="0" borderId="0" xfId="0" applyFont="1"/>
    <xf numFmtId="0" fontId="29" fillId="0" borderId="0" xfId="0" applyFont="1" applyAlignment="1">
      <alignment horizontal="left"/>
    </xf>
    <xf numFmtId="0" fontId="29" fillId="0" borderId="0" xfId="0" applyFont="1" applyAlignment="1">
      <alignment horizontal="center"/>
    </xf>
    <xf numFmtId="0" fontId="29" fillId="0" borderId="0" xfId="0" applyFont="1" applyAlignment="1">
      <alignment horizontal="right"/>
    </xf>
  </cellXfs>
  <cellStyles count="12">
    <cellStyle name="Calculation" xfId="4" builtinId="22"/>
    <cellStyle name="Check Cell" xfId="5" builtinId="23"/>
    <cellStyle name="Comma" xfId="1" builtinId="3"/>
    <cellStyle name="Comma 2" xfId="9" xr:uid="{F83BF314-CBE6-47C7-BBC4-9D3B12EFC02F}"/>
    <cellStyle name="Currency" xfId="2" builtinId="4"/>
    <cellStyle name="Hyperlink" xfId="7" builtinId="8"/>
    <cellStyle name="Normal" xfId="0" builtinId="0"/>
    <cellStyle name="Normal 2 3" xfId="11" xr:uid="{4E7BD827-7865-45B9-BB1C-ECA4DBEA75DB}"/>
    <cellStyle name="Normal 3" xfId="10" xr:uid="{999353D9-8366-4C5D-82FF-193FAA931210}"/>
    <cellStyle name="Note" xfId="6" builtinId="10"/>
    <cellStyle name="Percent" xfId="3" builtinId="5"/>
    <cellStyle name="Percent 2" xfId="8" xr:uid="{337A6CD8-5105-49E3-B203-D182C73C8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externalLink" Target="externalLinks/externalLink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95" Type="http://schemas.openxmlformats.org/officeDocument/2006/relationships/customXml" Target="../customXml/item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133637</xdr:rowOff>
    </xdr:to>
    <xdr:pic>
      <xdr:nvPicPr>
        <xdr:cNvPr id="2" name="Picture 1">
          <a:extLst>
            <a:ext uri="{FF2B5EF4-FFF2-40B4-BE49-F238E27FC236}">
              <a16:creationId xmlns:a16="http://schemas.microsoft.com/office/drawing/2014/main" id="{6D6EF236-C05C-40B8-9F93-2EDE05F093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7145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0E4FB48F-7356-4809-AFD3-E0D07006D94D}"/>
            </a:ext>
          </a:extLst>
        </xdr:cNvPr>
        <xdr:cNvCxnSpPr/>
      </xdr:nvCxnSpPr>
      <xdr:spPr>
        <a:xfrm>
          <a:off x="285750" y="174117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BF3A65C3-1F0F-454F-92E4-779100D7BA88}"/>
            </a:ext>
          </a:extLst>
        </xdr:cNvPr>
        <xdr:cNvCxnSpPr/>
      </xdr:nvCxnSpPr>
      <xdr:spPr>
        <a:xfrm>
          <a:off x="295275" y="88392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CFE101%20Guided%20Examples%202025-2026.xlsx" TargetMode="External"/><Relationship Id="rId1" Type="http://schemas.openxmlformats.org/officeDocument/2006/relationships/externalLinkPath" Target="/personal/dnorris_soa_org/Documents/Documents/Projects/2025-26%20Curriculum/FINAL%20GUIDED%20EXAMPLES/Fully%20Assembled/CFE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S1"/>
      <sheetName val="Q1.1"/>
      <sheetName val="A1.1"/>
      <sheetName val="Q1.2"/>
      <sheetName val="A1.2"/>
      <sheetName val="S2"/>
      <sheetName val="Q2.1"/>
      <sheetName val="A2.1"/>
      <sheetName val="Q2.2"/>
      <sheetName val="A2.2"/>
      <sheetName val="S3"/>
      <sheetName val="Q3.1"/>
      <sheetName val="A3.1"/>
      <sheetName val="S4"/>
      <sheetName val="Q4.1"/>
      <sheetName val="A4.1"/>
      <sheetName val="S5"/>
      <sheetName val="Q5.1"/>
      <sheetName val="A5.1"/>
      <sheetName val="Q5.2"/>
      <sheetName val="A5.2"/>
      <sheetName val="S6"/>
      <sheetName val="Q6.1"/>
      <sheetName val="A6.1"/>
      <sheetName val="S7"/>
      <sheetName val="Q7.1"/>
      <sheetName val="A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6146-8EDB-4AD1-9B79-84EEB414FF31}">
  <sheetPr>
    <tabColor rgb="FF0070C0"/>
    <pageSetUpPr autoPageBreaks="0"/>
  </sheetPr>
  <dimension ref="A6:K21"/>
  <sheetViews>
    <sheetView showGridLines="0" tabSelected="1" zoomScale="115" zoomScaleNormal="115" workbookViewId="0"/>
  </sheetViews>
  <sheetFormatPr defaultRowHeight="14.4" x14ac:dyDescent="0.3"/>
  <cols>
    <col min="10" max="10" width="11.109375" customWidth="1"/>
  </cols>
  <sheetData>
    <row r="6" spans="1:10" ht="33.6" x14ac:dyDescent="0.65">
      <c r="A6" s="435" t="s">
        <v>1334</v>
      </c>
      <c r="B6" s="435"/>
      <c r="C6" s="435"/>
      <c r="D6" s="435"/>
      <c r="E6" s="435"/>
      <c r="F6" s="435"/>
      <c r="G6" s="435"/>
      <c r="H6" s="435"/>
      <c r="I6" s="435"/>
      <c r="J6" s="435"/>
    </row>
    <row r="7" spans="1:10" ht="6" customHeight="1" x14ac:dyDescent="0.3">
      <c r="A7" s="436"/>
      <c r="B7" s="436"/>
      <c r="C7" s="436"/>
      <c r="D7" s="436"/>
      <c r="E7" s="436"/>
      <c r="F7" s="436"/>
      <c r="G7" s="436"/>
      <c r="H7" s="436"/>
      <c r="I7" s="436"/>
      <c r="J7" s="436"/>
    </row>
    <row r="8" spans="1:10" ht="21" x14ac:dyDescent="0.4">
      <c r="A8" s="437" t="s">
        <v>1344</v>
      </c>
      <c r="B8" s="437"/>
      <c r="C8" s="437"/>
      <c r="D8" s="437"/>
      <c r="E8" s="437"/>
      <c r="F8" s="437"/>
      <c r="G8" s="437"/>
      <c r="H8" s="437"/>
      <c r="I8" s="437"/>
      <c r="J8" s="437"/>
    </row>
    <row r="10" spans="1:10" ht="75" customHeight="1" x14ac:dyDescent="0.3">
      <c r="A10" s="438" t="s">
        <v>1335</v>
      </c>
      <c r="B10" s="439" t="s">
        <v>1336</v>
      </c>
      <c r="C10" s="439"/>
      <c r="D10" s="439"/>
      <c r="E10" s="439"/>
      <c r="F10" s="439"/>
      <c r="G10" s="439"/>
      <c r="H10" s="439"/>
      <c r="I10" s="439"/>
      <c r="J10" s="439"/>
    </row>
    <row r="11" spans="1:10" x14ac:dyDescent="0.3">
      <c r="B11" s="440"/>
      <c r="C11" s="440"/>
      <c r="D11" s="440"/>
      <c r="E11" s="440"/>
      <c r="F11" s="440"/>
      <c r="G11" s="440"/>
      <c r="H11" s="440"/>
      <c r="I11" s="440"/>
      <c r="J11" s="440"/>
    </row>
    <row r="12" spans="1:10" ht="45" customHeight="1" x14ac:dyDescent="0.3">
      <c r="A12" s="438" t="s">
        <v>1335</v>
      </c>
      <c r="B12" s="439" t="s">
        <v>1337</v>
      </c>
      <c r="C12" s="439"/>
      <c r="D12" s="439"/>
      <c r="E12" s="439"/>
      <c r="F12" s="439"/>
      <c r="G12" s="439"/>
      <c r="H12" s="439"/>
      <c r="I12" s="439"/>
      <c r="J12" s="439"/>
    </row>
    <row r="13" spans="1:10" x14ac:dyDescent="0.3">
      <c r="B13" s="440"/>
      <c r="C13" s="440"/>
      <c r="D13" s="440"/>
      <c r="E13" s="440"/>
      <c r="F13" s="440"/>
      <c r="G13" s="440"/>
      <c r="H13" s="440"/>
      <c r="I13" s="440"/>
      <c r="J13" s="440"/>
    </row>
    <row r="14" spans="1:10" ht="45.6" customHeight="1" x14ac:dyDescent="0.3">
      <c r="A14" s="438" t="s">
        <v>1335</v>
      </c>
      <c r="B14" s="439" t="s">
        <v>1338</v>
      </c>
      <c r="C14" s="439"/>
      <c r="D14" s="439"/>
      <c r="E14" s="439"/>
      <c r="F14" s="439"/>
      <c r="G14" s="439"/>
      <c r="H14" s="439"/>
      <c r="I14" s="439"/>
      <c r="J14" s="439"/>
    </row>
    <row r="15" spans="1:10" x14ac:dyDescent="0.3">
      <c r="B15" s="440"/>
      <c r="C15" s="440"/>
      <c r="D15" s="440"/>
      <c r="E15" s="440"/>
      <c r="F15" s="440"/>
      <c r="G15" s="440"/>
      <c r="H15" s="440"/>
      <c r="I15" s="440"/>
      <c r="J15" s="440"/>
    </row>
    <row r="16" spans="1:10" ht="57.6" customHeight="1" x14ac:dyDescent="0.3">
      <c r="A16" s="438" t="s">
        <v>1335</v>
      </c>
      <c r="B16" s="439" t="s">
        <v>1339</v>
      </c>
      <c r="C16" s="439"/>
      <c r="D16" s="439"/>
      <c r="E16" s="439"/>
      <c r="F16" s="439"/>
      <c r="G16" s="439"/>
      <c r="H16" s="439"/>
      <c r="I16" s="439"/>
      <c r="J16" s="439"/>
    </row>
    <row r="17" spans="1:11" x14ac:dyDescent="0.3">
      <c r="B17" s="440"/>
      <c r="C17" s="440"/>
      <c r="D17" s="440"/>
      <c r="E17" s="440"/>
      <c r="F17" s="440"/>
      <c r="G17" s="440"/>
      <c r="H17" s="440"/>
      <c r="I17" s="440"/>
      <c r="J17" s="440"/>
      <c r="K17" s="69"/>
    </row>
    <row r="18" spans="1:11" ht="44.4" customHeight="1" x14ac:dyDescent="0.3">
      <c r="A18" s="438" t="s">
        <v>1335</v>
      </c>
      <c r="B18" s="439" t="s">
        <v>1340</v>
      </c>
      <c r="C18" s="439"/>
      <c r="D18" s="439"/>
      <c r="E18" s="439"/>
      <c r="F18" s="439"/>
      <c r="G18" s="439"/>
      <c r="H18" s="439"/>
      <c r="I18" s="439"/>
      <c r="J18" s="439"/>
    </row>
    <row r="21" spans="1:11" x14ac:dyDescent="0.3">
      <c r="B21" s="441" t="s">
        <v>1341</v>
      </c>
      <c r="C21" s="441"/>
      <c r="D21" s="442" t="s">
        <v>1342</v>
      </c>
      <c r="E21" s="442"/>
      <c r="F21" s="442"/>
      <c r="G21" s="442"/>
      <c r="H21" s="443" t="s">
        <v>1343</v>
      </c>
      <c r="I21" s="443"/>
      <c r="J21" s="443"/>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1BDF-FFE8-4E5E-BD8C-DFB40431D93C}">
  <sheetPr>
    <tabColor theme="5" tint="0.39997558519241921"/>
  </sheetPr>
  <dimension ref="A1:M34"/>
  <sheetViews>
    <sheetView workbookViewId="0">
      <selection activeCell="U46" sqref="U46"/>
    </sheetView>
  </sheetViews>
  <sheetFormatPr defaultRowHeight="14.4" x14ac:dyDescent="0.3"/>
  <cols>
    <col min="4" max="4" width="20.5546875" customWidth="1"/>
    <col min="5" max="5" width="16.6640625" customWidth="1"/>
    <col min="6" max="6" width="14.5546875" bestFit="1" customWidth="1"/>
    <col min="9" max="9" width="15.44140625" customWidth="1"/>
    <col min="10" max="10" width="17.33203125" customWidth="1"/>
    <col min="11" max="11" width="11.6640625" customWidth="1"/>
    <col min="12" max="12" width="10.44140625" bestFit="1" customWidth="1"/>
  </cols>
  <sheetData>
    <row r="1" spans="1:13" ht="15" thickBot="1" x14ac:dyDescent="0.35">
      <c r="A1" t="s">
        <v>87</v>
      </c>
    </row>
    <row r="2" spans="1:13" ht="15" thickBot="1" x14ac:dyDescent="0.35">
      <c r="G2" s="10" t="s">
        <v>16</v>
      </c>
      <c r="H2" s="9"/>
    </row>
    <row r="3" spans="1:13" x14ac:dyDescent="0.3">
      <c r="G3" s="8" t="s">
        <v>15</v>
      </c>
      <c r="H3" s="8"/>
    </row>
    <row r="4" spans="1:13" ht="15" thickBot="1" x14ac:dyDescent="0.35">
      <c r="G4" s="7" t="s">
        <v>14</v>
      </c>
      <c r="H4" s="7"/>
    </row>
    <row r="5" spans="1:13" ht="15.6" thickTop="1" thickBot="1" x14ac:dyDescent="0.35">
      <c r="G5" s="6" t="s">
        <v>13</v>
      </c>
      <c r="H5" s="6"/>
    </row>
    <row r="6" spans="1:13" ht="15" thickTop="1" x14ac:dyDescent="0.3">
      <c r="G6" s="4" t="s">
        <v>12</v>
      </c>
      <c r="H6" s="4"/>
    </row>
    <row r="7" spans="1:13" ht="15" thickBot="1" x14ac:dyDescent="0.35"/>
    <row r="8" spans="1:13" ht="15" thickBot="1" x14ac:dyDescent="0.35">
      <c r="D8" s="399" t="s">
        <v>3</v>
      </c>
      <c r="E8" s="401"/>
    </row>
    <row r="9" spans="1:13" s="40" customFormat="1" x14ac:dyDescent="0.3"/>
    <row r="10" spans="1:13" s="40" customFormat="1" x14ac:dyDescent="0.3">
      <c r="D10" s="28" t="s">
        <v>86</v>
      </c>
      <c r="E10" s="28" t="s">
        <v>85</v>
      </c>
    </row>
    <row r="11" spans="1:13" s="40" customFormat="1" x14ac:dyDescent="0.3">
      <c r="D11" s="28" t="s">
        <v>84</v>
      </c>
      <c r="E11" s="28">
        <v>4</v>
      </c>
    </row>
    <row r="12" spans="1:13" s="40" customFormat="1" x14ac:dyDescent="0.3">
      <c r="D12" s="28" t="s">
        <v>83</v>
      </c>
      <c r="E12" s="28">
        <v>3</v>
      </c>
    </row>
    <row r="13" spans="1:13" s="40" customFormat="1" x14ac:dyDescent="0.3">
      <c r="D13" s="28" t="s">
        <v>82</v>
      </c>
      <c r="E13" s="28">
        <v>2.5</v>
      </c>
    </row>
    <row r="14" spans="1:13" s="40" customFormat="1" x14ac:dyDescent="0.3">
      <c r="D14" s="28" t="s">
        <v>81</v>
      </c>
      <c r="E14" s="28">
        <v>2</v>
      </c>
    </row>
    <row r="15" spans="1:13" s="40" customFormat="1" ht="15" thickBot="1" x14ac:dyDescent="0.35"/>
    <row r="16" spans="1:13" ht="15" thickBot="1" x14ac:dyDescent="0.35">
      <c r="D16" s="399" t="s">
        <v>10</v>
      </c>
      <c r="E16" s="400"/>
      <c r="F16" s="400"/>
      <c r="G16" s="401"/>
      <c r="I16" s="399" t="s">
        <v>0</v>
      </c>
      <c r="J16" s="400"/>
      <c r="K16" s="400"/>
      <c r="L16" s="400"/>
      <c r="M16" s="401"/>
    </row>
    <row r="17" spans="4:7" x14ac:dyDescent="0.3">
      <c r="D17" s="39"/>
      <c r="E17" s="39"/>
      <c r="F17" s="39"/>
    </row>
    <row r="18" spans="4:7" x14ac:dyDescent="0.3">
      <c r="D18" s="35"/>
    </row>
    <row r="19" spans="4:7" ht="28.8" x14ac:dyDescent="0.3">
      <c r="D19" s="29" t="s">
        <v>80</v>
      </c>
      <c r="E19" s="29" t="s">
        <v>79</v>
      </c>
      <c r="F19" s="29" t="s">
        <v>78</v>
      </c>
      <c r="G19" s="29" t="s">
        <v>77</v>
      </c>
    </row>
    <row r="20" spans="4:7" x14ac:dyDescent="0.3">
      <c r="D20" s="28">
        <v>1</v>
      </c>
      <c r="E20" s="38">
        <v>3450</v>
      </c>
      <c r="F20" s="37">
        <v>50000</v>
      </c>
      <c r="G20" s="37">
        <v>45000</v>
      </c>
    </row>
    <row r="21" spans="4:7" x14ac:dyDescent="0.3">
      <c r="D21" s="28">
        <v>2</v>
      </c>
      <c r="E21" s="38">
        <v>3500</v>
      </c>
      <c r="F21" s="37">
        <v>52500</v>
      </c>
      <c r="G21" s="37">
        <v>45200</v>
      </c>
    </row>
    <row r="22" spans="4:7" x14ac:dyDescent="0.3">
      <c r="D22" s="28">
        <v>3</v>
      </c>
      <c r="E22" s="38">
        <v>2750</v>
      </c>
      <c r="F22" s="37">
        <v>52500</v>
      </c>
      <c r="G22" s="37">
        <v>49900</v>
      </c>
    </row>
    <row r="23" spans="4:7" x14ac:dyDescent="0.3">
      <c r="D23" s="28">
        <v>4</v>
      </c>
      <c r="E23" s="38">
        <v>2250</v>
      </c>
      <c r="F23" s="37">
        <v>55000</v>
      </c>
      <c r="G23" s="37">
        <v>42900</v>
      </c>
    </row>
    <row r="24" spans="4:7" x14ac:dyDescent="0.3">
      <c r="D24" s="28">
        <v>5</v>
      </c>
      <c r="E24" s="38">
        <v>1750</v>
      </c>
      <c r="F24" s="37">
        <v>35000</v>
      </c>
      <c r="G24" s="37">
        <v>34000</v>
      </c>
    </row>
    <row r="25" spans="4:7" x14ac:dyDescent="0.3">
      <c r="D25" s="28">
        <v>6</v>
      </c>
      <c r="E25" s="38">
        <v>1500</v>
      </c>
      <c r="F25" s="37">
        <v>35000</v>
      </c>
      <c r="G25" s="37">
        <v>33300</v>
      </c>
    </row>
    <row r="26" spans="4:7" x14ac:dyDescent="0.3">
      <c r="D26" s="28">
        <v>7</v>
      </c>
      <c r="E26" s="38">
        <v>1250</v>
      </c>
      <c r="F26" s="37">
        <v>35000</v>
      </c>
      <c r="G26" s="37">
        <v>32600</v>
      </c>
    </row>
    <row r="27" spans="4:7" x14ac:dyDescent="0.3">
      <c r="D27" s="28">
        <v>8</v>
      </c>
      <c r="E27" s="38">
        <v>1000</v>
      </c>
      <c r="F27" s="37">
        <v>35000</v>
      </c>
      <c r="G27" s="37">
        <v>31500</v>
      </c>
    </row>
    <row r="28" spans="4:7" x14ac:dyDescent="0.3">
      <c r="D28" s="28">
        <v>9</v>
      </c>
      <c r="E28" s="28">
        <v>850</v>
      </c>
      <c r="F28" s="37">
        <v>30000</v>
      </c>
      <c r="G28" s="37">
        <v>30100</v>
      </c>
    </row>
    <row r="29" spans="4:7" x14ac:dyDescent="0.3">
      <c r="D29" s="28">
        <v>10</v>
      </c>
      <c r="E29" s="28">
        <v>800</v>
      </c>
      <c r="F29" s="37">
        <v>27500</v>
      </c>
      <c r="G29" s="37">
        <v>25200</v>
      </c>
    </row>
    <row r="30" spans="4:7" x14ac:dyDescent="0.3">
      <c r="D30" s="28">
        <v>11</v>
      </c>
      <c r="E30" s="28">
        <v>750</v>
      </c>
      <c r="F30" s="37">
        <v>22500</v>
      </c>
      <c r="G30" s="37">
        <v>24300</v>
      </c>
    </row>
    <row r="31" spans="4:7" x14ac:dyDescent="0.3">
      <c r="D31" s="28">
        <v>12</v>
      </c>
      <c r="E31" s="28">
        <v>650</v>
      </c>
      <c r="F31" s="37">
        <v>20000</v>
      </c>
      <c r="G31" s="37">
        <v>23400</v>
      </c>
    </row>
    <row r="32" spans="4:7" x14ac:dyDescent="0.3">
      <c r="D32" s="28">
        <v>13</v>
      </c>
      <c r="E32" s="28">
        <v>600</v>
      </c>
      <c r="F32" s="37">
        <v>17500</v>
      </c>
      <c r="G32" s="37">
        <v>23100</v>
      </c>
    </row>
    <row r="33" spans="4:7" x14ac:dyDescent="0.3">
      <c r="D33" s="28">
        <v>14</v>
      </c>
      <c r="E33" s="28">
        <v>550</v>
      </c>
      <c r="F33" s="37">
        <v>15000</v>
      </c>
      <c r="G33" s="37">
        <v>20600</v>
      </c>
    </row>
    <row r="34" spans="4:7" x14ac:dyDescent="0.3">
      <c r="D34" s="28">
        <v>15</v>
      </c>
      <c r="E34" s="28">
        <v>500</v>
      </c>
      <c r="F34" s="37">
        <v>12500</v>
      </c>
      <c r="G34" s="37">
        <v>19800</v>
      </c>
    </row>
  </sheetData>
  <mergeCells count="3">
    <mergeCell ref="D8:E8"/>
    <mergeCell ref="D16:G16"/>
    <mergeCell ref="I16:M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341D-EA01-43F4-AA39-2147540F5B80}">
  <sheetPr>
    <tabColor theme="9" tint="0.59999389629810485"/>
  </sheetPr>
  <dimension ref="A1:M35"/>
  <sheetViews>
    <sheetView workbookViewId="0">
      <selection activeCell="O51" sqref="O51"/>
    </sheetView>
  </sheetViews>
  <sheetFormatPr defaultRowHeight="14.4" x14ac:dyDescent="0.3"/>
  <cols>
    <col min="4" max="4" width="20.5546875" customWidth="1"/>
    <col min="5" max="5" width="16.6640625" customWidth="1"/>
    <col min="6" max="6" width="14.5546875" bestFit="1" customWidth="1"/>
    <col min="9" max="9" width="15.44140625" customWidth="1"/>
    <col min="10" max="10" width="17.33203125" customWidth="1"/>
    <col min="11" max="11" width="11.6640625" customWidth="1"/>
    <col min="12" max="12" width="10.44140625" bestFit="1" customWidth="1"/>
  </cols>
  <sheetData>
    <row r="1" spans="1:13" ht="15" thickBot="1" x14ac:dyDescent="0.35">
      <c r="A1" t="s">
        <v>87</v>
      </c>
    </row>
    <row r="2" spans="1:13" ht="15" thickBot="1" x14ac:dyDescent="0.35">
      <c r="G2" s="10" t="s">
        <v>16</v>
      </c>
      <c r="H2" s="9"/>
    </row>
    <row r="3" spans="1:13" x14ac:dyDescent="0.3">
      <c r="G3" s="8" t="s">
        <v>15</v>
      </c>
      <c r="H3" s="8"/>
    </row>
    <row r="4" spans="1:13" ht="15" thickBot="1" x14ac:dyDescent="0.35">
      <c r="G4" s="7" t="s">
        <v>14</v>
      </c>
      <c r="H4" s="7"/>
    </row>
    <row r="5" spans="1:13" ht="15.6" thickTop="1" thickBot="1" x14ac:dyDescent="0.35">
      <c r="G5" s="6" t="s">
        <v>13</v>
      </c>
      <c r="H5" s="6"/>
    </row>
    <row r="6" spans="1:13" ht="15" thickTop="1" x14ac:dyDescent="0.3">
      <c r="G6" s="4" t="s">
        <v>12</v>
      </c>
      <c r="H6" s="4"/>
    </row>
    <row r="7" spans="1:13" ht="15" thickBot="1" x14ac:dyDescent="0.35"/>
    <row r="8" spans="1:13" ht="15" thickBot="1" x14ac:dyDescent="0.35">
      <c r="D8" s="399" t="s">
        <v>3</v>
      </c>
      <c r="E8" s="401"/>
    </row>
    <row r="9" spans="1:13" s="40" customFormat="1" x14ac:dyDescent="0.3"/>
    <row r="10" spans="1:13" s="40" customFormat="1" x14ac:dyDescent="0.3">
      <c r="D10" s="28" t="s">
        <v>86</v>
      </c>
      <c r="E10" s="28" t="s">
        <v>85</v>
      </c>
    </row>
    <row r="11" spans="1:13" s="40" customFormat="1" x14ac:dyDescent="0.3">
      <c r="D11" s="28" t="s">
        <v>84</v>
      </c>
      <c r="E11" s="28">
        <v>4</v>
      </c>
    </row>
    <row r="12" spans="1:13" s="40" customFormat="1" x14ac:dyDescent="0.3">
      <c r="D12" s="28" t="s">
        <v>83</v>
      </c>
      <c r="E12" s="28">
        <v>3</v>
      </c>
    </row>
    <row r="13" spans="1:13" s="40" customFormat="1" x14ac:dyDescent="0.3">
      <c r="D13" s="28" t="s">
        <v>82</v>
      </c>
      <c r="E13" s="28">
        <v>2.5</v>
      </c>
    </row>
    <row r="14" spans="1:13" s="40" customFormat="1" x14ac:dyDescent="0.3">
      <c r="D14" s="28" t="s">
        <v>81</v>
      </c>
      <c r="E14" s="28">
        <v>2</v>
      </c>
    </row>
    <row r="15" spans="1:13" s="40" customFormat="1" ht="15" thickBot="1" x14ac:dyDescent="0.35"/>
    <row r="16" spans="1:13" ht="15" thickBot="1" x14ac:dyDescent="0.35">
      <c r="D16" s="399" t="s">
        <v>10</v>
      </c>
      <c r="E16" s="400"/>
      <c r="F16" s="400"/>
      <c r="G16" s="401"/>
      <c r="I16" s="399" t="s">
        <v>0</v>
      </c>
      <c r="J16" s="400"/>
      <c r="K16" s="400"/>
      <c r="L16" s="400"/>
      <c r="M16" s="401"/>
    </row>
    <row r="17" spans="4:12" x14ac:dyDescent="0.3">
      <c r="D17" s="39"/>
      <c r="E17" s="39"/>
      <c r="F17" s="39"/>
    </row>
    <row r="18" spans="4:12" x14ac:dyDescent="0.3">
      <c r="D18" s="35"/>
    </row>
    <row r="19" spans="4:12" ht="43.2" x14ac:dyDescent="0.3">
      <c r="D19" s="29" t="s">
        <v>80</v>
      </c>
      <c r="E19" s="29" t="s">
        <v>79</v>
      </c>
      <c r="F19" s="29" t="s">
        <v>78</v>
      </c>
      <c r="G19" s="29" t="s">
        <v>77</v>
      </c>
      <c r="I19" s="29" t="s">
        <v>85</v>
      </c>
      <c r="J19" s="29" t="s">
        <v>519</v>
      </c>
      <c r="K19" s="29" t="s">
        <v>518</v>
      </c>
      <c r="L19" s="29" t="s">
        <v>517</v>
      </c>
    </row>
    <row r="20" spans="4:12" x14ac:dyDescent="0.3">
      <c r="D20" s="28">
        <v>1</v>
      </c>
      <c r="E20" s="38">
        <v>3450</v>
      </c>
      <c r="F20" s="37">
        <v>50000</v>
      </c>
      <c r="G20" s="37">
        <v>45000</v>
      </c>
      <c r="I20" s="28">
        <f>$E$11</f>
        <v>4</v>
      </c>
      <c r="J20" s="38">
        <f t="shared" ref="J20:J34" si="0">I20*(1.44/0.05)^2</f>
        <v>3317.7599999999993</v>
      </c>
      <c r="K20" s="134">
        <f t="shared" ref="K20:K34" si="1">MIN(1,E20/J20)^0.5</f>
        <v>1</v>
      </c>
      <c r="L20" s="37">
        <f t="shared" ref="L20:L34" si="2">K20*F20+(1-K20)*G20</f>
        <v>50000</v>
      </c>
    </row>
    <row r="21" spans="4:12" x14ac:dyDescent="0.3">
      <c r="D21" s="28">
        <v>2</v>
      </c>
      <c r="E21" s="38">
        <v>3500</v>
      </c>
      <c r="F21" s="37">
        <v>52500</v>
      </c>
      <c r="G21" s="37">
        <v>45200</v>
      </c>
      <c r="I21" s="28">
        <f>$E$11</f>
        <v>4</v>
      </c>
      <c r="J21" s="38">
        <f t="shared" si="0"/>
        <v>3317.7599999999993</v>
      </c>
      <c r="K21" s="134">
        <f t="shared" si="1"/>
        <v>1</v>
      </c>
      <c r="L21" s="37">
        <f t="shared" si="2"/>
        <v>52500</v>
      </c>
    </row>
    <row r="22" spans="4:12" x14ac:dyDescent="0.3">
      <c r="D22" s="28">
        <v>3</v>
      </c>
      <c r="E22" s="38">
        <v>2750</v>
      </c>
      <c r="F22" s="37">
        <v>52500</v>
      </c>
      <c r="G22" s="37">
        <v>49900</v>
      </c>
      <c r="I22" s="28">
        <f>$E$12</f>
        <v>3</v>
      </c>
      <c r="J22" s="38">
        <f t="shared" si="0"/>
        <v>2488.3199999999997</v>
      </c>
      <c r="K22" s="134">
        <f t="shared" si="1"/>
        <v>1</v>
      </c>
      <c r="L22" s="37">
        <f t="shared" si="2"/>
        <v>52500</v>
      </c>
    </row>
    <row r="23" spans="4:12" x14ac:dyDescent="0.3">
      <c r="D23" s="28">
        <v>4</v>
      </c>
      <c r="E23" s="38">
        <v>2250</v>
      </c>
      <c r="F23" s="37">
        <v>55000</v>
      </c>
      <c r="G23" s="37">
        <v>42900</v>
      </c>
      <c r="I23" s="28">
        <f>$E$12</f>
        <v>3</v>
      </c>
      <c r="J23" s="38">
        <f t="shared" si="0"/>
        <v>2488.3199999999997</v>
      </c>
      <c r="K23" s="134">
        <f t="shared" si="1"/>
        <v>0.95090721789091337</v>
      </c>
      <c r="L23" s="37">
        <f t="shared" si="2"/>
        <v>54405.977336480049</v>
      </c>
    </row>
    <row r="24" spans="4:12" x14ac:dyDescent="0.3">
      <c r="D24" s="28">
        <v>5</v>
      </c>
      <c r="E24" s="38">
        <v>1750</v>
      </c>
      <c r="F24" s="37">
        <v>35000</v>
      </c>
      <c r="G24" s="37">
        <v>34000</v>
      </c>
      <c r="I24" s="28">
        <f>$E$12</f>
        <v>3</v>
      </c>
      <c r="J24" s="38">
        <f t="shared" si="0"/>
        <v>2488.3199999999997</v>
      </c>
      <c r="K24" s="134">
        <f t="shared" si="1"/>
        <v>0.83862133947855555</v>
      </c>
      <c r="L24" s="37">
        <f t="shared" si="2"/>
        <v>34838.621339478559</v>
      </c>
    </row>
    <row r="25" spans="4:12" x14ac:dyDescent="0.3">
      <c r="D25" s="28">
        <v>6</v>
      </c>
      <c r="E25" s="38">
        <v>1500</v>
      </c>
      <c r="F25" s="37">
        <v>35000</v>
      </c>
      <c r="G25" s="37">
        <v>33300</v>
      </c>
      <c r="I25" s="28">
        <f>$E$13</f>
        <v>2.5</v>
      </c>
      <c r="J25" s="38">
        <f t="shared" si="0"/>
        <v>2073.5999999999995</v>
      </c>
      <c r="K25" s="134">
        <f t="shared" si="1"/>
        <v>0.85051727179971481</v>
      </c>
      <c r="L25" s="37">
        <f t="shared" si="2"/>
        <v>34745.879362059517</v>
      </c>
    </row>
    <row r="26" spans="4:12" x14ac:dyDescent="0.3">
      <c r="D26" s="28">
        <v>7</v>
      </c>
      <c r="E26" s="38">
        <v>1250</v>
      </c>
      <c r="F26" s="37">
        <v>35000</v>
      </c>
      <c r="G26" s="37">
        <v>32600</v>
      </c>
      <c r="I26" s="28">
        <f>$E$13</f>
        <v>2.5</v>
      </c>
      <c r="J26" s="38">
        <f t="shared" si="0"/>
        <v>2073.5999999999995</v>
      </c>
      <c r="K26" s="134">
        <f t="shared" si="1"/>
        <v>0.77641249218742703</v>
      </c>
      <c r="L26" s="37">
        <f t="shared" si="2"/>
        <v>34463.389981249828</v>
      </c>
    </row>
    <row r="27" spans="4:12" x14ac:dyDescent="0.3">
      <c r="D27" s="28">
        <v>8</v>
      </c>
      <c r="E27" s="38">
        <v>1000</v>
      </c>
      <c r="F27" s="37">
        <v>35000</v>
      </c>
      <c r="G27" s="37">
        <v>31500</v>
      </c>
      <c r="I27" s="28">
        <f>$E$13</f>
        <v>2.5</v>
      </c>
      <c r="J27" s="38">
        <f t="shared" si="0"/>
        <v>2073.5999999999995</v>
      </c>
      <c r="K27" s="134">
        <f t="shared" si="1"/>
        <v>0.69444444444444453</v>
      </c>
      <c r="L27" s="37">
        <f t="shared" si="2"/>
        <v>33930.555555555555</v>
      </c>
    </row>
    <row r="28" spans="4:12" x14ac:dyDescent="0.3">
      <c r="D28" s="28">
        <v>9</v>
      </c>
      <c r="E28" s="28">
        <v>850</v>
      </c>
      <c r="F28" s="37">
        <v>30000</v>
      </c>
      <c r="G28" s="37">
        <v>30100</v>
      </c>
      <c r="I28" s="28">
        <f>$E$13</f>
        <v>2.5</v>
      </c>
      <c r="J28" s="38">
        <f t="shared" si="0"/>
        <v>2073.5999999999995</v>
      </c>
      <c r="K28" s="134">
        <f t="shared" si="1"/>
        <v>0.64024614286756165</v>
      </c>
      <c r="L28" s="37">
        <f t="shared" si="2"/>
        <v>30035.975385713245</v>
      </c>
    </row>
    <row r="29" spans="4:12" x14ac:dyDescent="0.3">
      <c r="D29" s="28">
        <v>10</v>
      </c>
      <c r="E29" s="28">
        <v>800</v>
      </c>
      <c r="F29" s="37">
        <v>27500</v>
      </c>
      <c r="G29" s="37">
        <v>25200</v>
      </c>
      <c r="I29" s="28">
        <f>$E$13</f>
        <v>2.5</v>
      </c>
      <c r="J29" s="38">
        <f t="shared" si="0"/>
        <v>2073.5999999999995</v>
      </c>
      <c r="K29" s="134">
        <f t="shared" si="1"/>
        <v>0.62112999374994171</v>
      </c>
      <c r="L29" s="37">
        <f t="shared" si="2"/>
        <v>26628.598985624867</v>
      </c>
    </row>
    <row r="30" spans="4:12" x14ac:dyDescent="0.3">
      <c r="D30" s="28">
        <v>11</v>
      </c>
      <c r="E30" s="28">
        <v>750</v>
      </c>
      <c r="F30" s="37">
        <v>22500</v>
      </c>
      <c r="G30" s="37">
        <v>24300</v>
      </c>
      <c r="I30" s="28">
        <f>$E$14</f>
        <v>2</v>
      </c>
      <c r="J30" s="38">
        <f t="shared" si="0"/>
        <v>1658.8799999999997</v>
      </c>
      <c r="K30" s="134">
        <f t="shared" si="1"/>
        <v>0.67239294204989886</v>
      </c>
      <c r="L30" s="37">
        <f t="shared" si="2"/>
        <v>23089.692704310182</v>
      </c>
    </row>
    <row r="31" spans="4:12" x14ac:dyDescent="0.3">
      <c r="D31" s="28">
        <v>12</v>
      </c>
      <c r="E31" s="28">
        <v>650</v>
      </c>
      <c r="F31" s="37">
        <v>20000</v>
      </c>
      <c r="G31" s="37">
        <v>23400</v>
      </c>
      <c r="I31" s="28">
        <f>$E$14</f>
        <v>2</v>
      </c>
      <c r="J31" s="38">
        <f t="shared" si="0"/>
        <v>1658.8799999999997</v>
      </c>
      <c r="K31" s="134">
        <f t="shared" si="1"/>
        <v>0.62596376310138713</v>
      </c>
      <c r="L31" s="37">
        <f t="shared" si="2"/>
        <v>21271.723205455284</v>
      </c>
    </row>
    <row r="32" spans="4:12" x14ac:dyDescent="0.3">
      <c r="D32" s="28">
        <v>13</v>
      </c>
      <c r="E32" s="28">
        <v>600</v>
      </c>
      <c r="F32" s="37">
        <v>17500</v>
      </c>
      <c r="G32" s="37">
        <v>23100</v>
      </c>
      <c r="I32" s="28">
        <f>$E$14</f>
        <v>2</v>
      </c>
      <c r="J32" s="38">
        <f t="shared" si="0"/>
        <v>1658.8799999999997</v>
      </c>
      <c r="K32" s="134">
        <f t="shared" si="1"/>
        <v>0.60140653040586023</v>
      </c>
      <c r="L32" s="37">
        <f t="shared" si="2"/>
        <v>19732.12342972718</v>
      </c>
    </row>
    <row r="33" spans="4:12" x14ac:dyDescent="0.3">
      <c r="D33" s="28">
        <v>14</v>
      </c>
      <c r="E33" s="28">
        <v>550</v>
      </c>
      <c r="F33" s="37">
        <v>15000</v>
      </c>
      <c r="G33" s="37">
        <v>20600</v>
      </c>
      <c r="I33" s="28">
        <f>$E$14</f>
        <v>2</v>
      </c>
      <c r="J33" s="38">
        <f t="shared" si="0"/>
        <v>1658.8799999999997</v>
      </c>
      <c r="K33" s="134">
        <f t="shared" si="1"/>
        <v>0.575802914992257</v>
      </c>
      <c r="L33" s="37">
        <f t="shared" si="2"/>
        <v>17375.503676043361</v>
      </c>
    </row>
    <row r="34" spans="4:12" x14ac:dyDescent="0.3">
      <c r="D34" s="28">
        <v>15</v>
      </c>
      <c r="E34" s="28">
        <v>500</v>
      </c>
      <c r="F34" s="37">
        <v>12500</v>
      </c>
      <c r="G34" s="37">
        <v>19800</v>
      </c>
      <c r="I34" s="28">
        <f>$E$14</f>
        <v>2</v>
      </c>
      <c r="J34" s="38">
        <f t="shared" si="0"/>
        <v>1658.8799999999997</v>
      </c>
      <c r="K34" s="134">
        <f t="shared" si="1"/>
        <v>0.54900653822367707</v>
      </c>
      <c r="L34" s="37">
        <f t="shared" si="2"/>
        <v>15792.252270967158</v>
      </c>
    </row>
    <row r="35" spans="4:12" x14ac:dyDescent="0.3">
      <c r="L35" s="133">
        <f>SUM(L20:L34)</f>
        <v>501310.2932326647</v>
      </c>
    </row>
  </sheetData>
  <mergeCells count="3">
    <mergeCell ref="D8:E8"/>
    <mergeCell ref="D16:G16"/>
    <mergeCell ref="I16:M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E967-5A40-45BE-B19F-F559EDB66868}">
  <sheetPr>
    <tabColor theme="5" tint="0.39997558519241921"/>
  </sheetPr>
  <dimension ref="A1:J83"/>
  <sheetViews>
    <sheetView workbookViewId="0">
      <selection activeCell="U46" sqref="U46"/>
    </sheetView>
  </sheetViews>
  <sheetFormatPr defaultRowHeight="14.4" x14ac:dyDescent="0.3"/>
  <cols>
    <col min="3" max="3" width="11.33203125" customWidth="1"/>
    <col min="4" max="4" width="20.5546875" customWidth="1"/>
    <col min="5" max="8" width="17.88671875" customWidth="1"/>
    <col min="9" max="9" width="16" customWidth="1"/>
    <col min="10" max="10" width="11.6640625" customWidth="1"/>
    <col min="11" max="11" width="13" customWidth="1"/>
    <col min="19" max="19" width="20.88671875" customWidth="1"/>
  </cols>
  <sheetData>
    <row r="1" spans="1:10" ht="15" thickBot="1" x14ac:dyDescent="0.35">
      <c r="A1" t="s">
        <v>138</v>
      </c>
    </row>
    <row r="2" spans="1:10" ht="15" thickBot="1" x14ac:dyDescent="0.35">
      <c r="G2" s="10" t="s">
        <v>16</v>
      </c>
      <c r="H2" s="9"/>
    </row>
    <row r="3" spans="1:10" x14ac:dyDescent="0.3">
      <c r="G3" s="8" t="s">
        <v>15</v>
      </c>
      <c r="H3" s="8"/>
    </row>
    <row r="4" spans="1:10" ht="15" thickBot="1" x14ac:dyDescent="0.35">
      <c r="G4" s="7" t="s">
        <v>14</v>
      </c>
      <c r="H4" s="7"/>
    </row>
    <row r="5" spans="1:10" ht="15.6" thickTop="1" thickBot="1" x14ac:dyDescent="0.35">
      <c r="G5" s="6" t="s">
        <v>13</v>
      </c>
      <c r="H5" s="6"/>
    </row>
    <row r="6" spans="1:10" ht="15" thickTop="1" x14ac:dyDescent="0.3">
      <c r="G6" s="4" t="s">
        <v>12</v>
      </c>
      <c r="H6" s="4"/>
    </row>
    <row r="7" spans="1:10" ht="15" thickBot="1" x14ac:dyDescent="0.35"/>
    <row r="8" spans="1:10" ht="15" thickBot="1" x14ac:dyDescent="0.35">
      <c r="D8" s="399" t="s">
        <v>3</v>
      </c>
      <c r="E8" s="401"/>
    </row>
    <row r="9" spans="1:10" s="40" customFormat="1" x14ac:dyDescent="0.3"/>
    <row r="10" spans="1:10" s="40" customFormat="1" x14ac:dyDescent="0.3">
      <c r="E10" s="40" t="s">
        <v>137</v>
      </c>
    </row>
    <row r="11" spans="1:10" s="40" customFormat="1" x14ac:dyDescent="0.3">
      <c r="E11" s="40" t="s">
        <v>136</v>
      </c>
    </row>
    <row r="12" spans="1:10" s="40" customFormat="1" x14ac:dyDescent="0.3">
      <c r="E12" s="40" t="s">
        <v>135</v>
      </c>
    </row>
    <row r="13" spans="1:10" s="40" customFormat="1" x14ac:dyDescent="0.3">
      <c r="B13"/>
      <c r="C13"/>
      <c r="D13"/>
      <c r="E13" s="40" t="s">
        <v>134</v>
      </c>
      <c r="F13"/>
      <c r="G13"/>
      <c r="H13"/>
    </row>
    <row r="14" spans="1:10" s="40" customFormat="1" ht="15" thickBot="1" x14ac:dyDescent="0.35">
      <c r="B14"/>
      <c r="C14"/>
      <c r="D14"/>
      <c r="E14"/>
      <c r="F14"/>
      <c r="G14"/>
      <c r="H14"/>
    </row>
    <row r="15" spans="1:10" ht="15" thickBot="1" x14ac:dyDescent="0.35">
      <c r="D15" s="399" t="s">
        <v>10</v>
      </c>
      <c r="E15" s="401"/>
    </row>
    <row r="16" spans="1:10" x14ac:dyDescent="0.3">
      <c r="I16" s="39"/>
      <c r="J16" s="39"/>
    </row>
    <row r="17" spans="4:8" x14ac:dyDescent="0.3">
      <c r="D17" s="28" t="s">
        <v>133</v>
      </c>
      <c r="E17" s="28" t="s">
        <v>7</v>
      </c>
      <c r="F17" s="28" t="s">
        <v>132</v>
      </c>
    </row>
    <row r="18" spans="4:8" x14ac:dyDescent="0.3">
      <c r="D18" s="28">
        <v>3</v>
      </c>
      <c r="E18" s="28">
        <v>23</v>
      </c>
      <c r="F18" s="28" t="s">
        <v>131</v>
      </c>
    </row>
    <row r="19" spans="4:8" x14ac:dyDescent="0.3">
      <c r="D19" s="28">
        <v>2</v>
      </c>
      <c r="E19" s="28">
        <v>30</v>
      </c>
      <c r="F19" s="28" t="s">
        <v>131</v>
      </c>
    </row>
    <row r="20" spans="4:8" x14ac:dyDescent="0.3">
      <c r="D20" s="28">
        <v>2</v>
      </c>
      <c r="E20" s="28">
        <v>55</v>
      </c>
      <c r="F20" s="28" t="s">
        <v>130</v>
      </c>
    </row>
    <row r="22" spans="4:8" x14ac:dyDescent="0.3">
      <c r="D22" s="40" t="s">
        <v>129</v>
      </c>
    </row>
    <row r="23" spans="4:8" x14ac:dyDescent="0.3">
      <c r="D23" s="35"/>
    </row>
    <row r="24" spans="4:8" x14ac:dyDescent="0.3">
      <c r="D24" s="30" t="s">
        <v>128</v>
      </c>
      <c r="E24" s="30" t="s">
        <v>127</v>
      </c>
      <c r="G24" s="30" t="s">
        <v>41</v>
      </c>
      <c r="H24" s="30" t="s">
        <v>123</v>
      </c>
    </row>
    <row r="25" spans="4:8" x14ac:dyDescent="0.3">
      <c r="D25" s="30" t="s">
        <v>54</v>
      </c>
      <c r="E25" s="30">
        <v>0.1</v>
      </c>
      <c r="G25" s="30" t="s">
        <v>38</v>
      </c>
      <c r="H25" s="30">
        <v>0.5</v>
      </c>
    </row>
    <row r="26" spans="4:8" x14ac:dyDescent="0.3">
      <c r="D26" s="30" t="s">
        <v>126</v>
      </c>
      <c r="E26" s="30">
        <v>0.03</v>
      </c>
      <c r="G26" s="30" t="s">
        <v>111</v>
      </c>
      <c r="H26" s="30">
        <v>0.75</v>
      </c>
    </row>
    <row r="27" spans="4:8" x14ac:dyDescent="0.3">
      <c r="D27" s="30" t="s">
        <v>117</v>
      </c>
      <c r="E27" s="30">
        <v>0.1</v>
      </c>
      <c r="G27" s="30" t="s">
        <v>109</v>
      </c>
      <c r="H27" s="30">
        <v>1.5</v>
      </c>
    </row>
    <row r="28" spans="4:8" x14ac:dyDescent="0.3">
      <c r="D28" s="30" t="s">
        <v>53</v>
      </c>
      <c r="E28" s="30">
        <v>0.02</v>
      </c>
      <c r="G28" s="30" t="s">
        <v>107</v>
      </c>
      <c r="H28" s="30">
        <v>0.5</v>
      </c>
    </row>
    <row r="29" spans="4:8" x14ac:dyDescent="0.3">
      <c r="D29" s="30" t="s">
        <v>125</v>
      </c>
      <c r="E29" s="30">
        <v>0.05</v>
      </c>
      <c r="G29" s="30" t="s">
        <v>105</v>
      </c>
      <c r="H29" s="30">
        <v>1.75</v>
      </c>
    </row>
    <row r="30" spans="4:8" x14ac:dyDescent="0.3">
      <c r="G30" s="30" t="s">
        <v>103</v>
      </c>
      <c r="H30" s="30">
        <v>1.25</v>
      </c>
    </row>
    <row r="32" spans="4:8" x14ac:dyDescent="0.3">
      <c r="D32" s="30" t="s">
        <v>113</v>
      </c>
      <c r="E32" s="30" t="s">
        <v>123</v>
      </c>
      <c r="G32" s="30" t="s">
        <v>49</v>
      </c>
      <c r="H32" s="30" t="s">
        <v>123</v>
      </c>
    </row>
    <row r="33" spans="4:9" x14ac:dyDescent="0.3">
      <c r="D33" s="30" t="s">
        <v>112</v>
      </c>
      <c r="E33" s="30">
        <v>1.1000000000000001</v>
      </c>
      <c r="G33" s="30" t="s">
        <v>48</v>
      </c>
      <c r="H33" s="30">
        <v>1.1499999999999999</v>
      </c>
    </row>
    <row r="34" spans="4:9" x14ac:dyDescent="0.3">
      <c r="D34" s="30" t="s">
        <v>110</v>
      </c>
      <c r="E34" s="30">
        <v>1.05</v>
      </c>
      <c r="G34" s="30" t="s">
        <v>47</v>
      </c>
      <c r="H34" s="30">
        <v>0.9</v>
      </c>
    </row>
    <row r="35" spans="4:9" x14ac:dyDescent="0.3">
      <c r="D35" s="30" t="s">
        <v>108</v>
      </c>
      <c r="E35" s="30">
        <v>1</v>
      </c>
      <c r="G35" s="30" t="s">
        <v>46</v>
      </c>
      <c r="H35" s="30">
        <v>0.9</v>
      </c>
    </row>
    <row r="36" spans="4:9" x14ac:dyDescent="0.3">
      <c r="D36" s="30" t="s">
        <v>106</v>
      </c>
      <c r="E36" s="30">
        <v>0.95</v>
      </c>
      <c r="G36" s="30" t="s">
        <v>45</v>
      </c>
      <c r="H36" s="30">
        <v>1.1000000000000001</v>
      </c>
    </row>
    <row r="37" spans="4:9" x14ac:dyDescent="0.3">
      <c r="D37" s="30" t="s">
        <v>104</v>
      </c>
      <c r="E37" s="30">
        <v>0.9</v>
      </c>
      <c r="G37" s="30" t="s">
        <v>44</v>
      </c>
      <c r="H37" s="30">
        <v>1</v>
      </c>
    </row>
    <row r="39" spans="4:9" x14ac:dyDescent="0.3">
      <c r="D39" s="30" t="s">
        <v>100</v>
      </c>
      <c r="E39" s="30" t="s">
        <v>123</v>
      </c>
      <c r="G39" s="30" t="s">
        <v>124</v>
      </c>
      <c r="H39" s="30"/>
      <c r="I39" s="30" t="s">
        <v>123</v>
      </c>
    </row>
    <row r="40" spans="4:9" x14ac:dyDescent="0.3">
      <c r="D40" s="30" t="s">
        <v>99</v>
      </c>
      <c r="E40" s="30">
        <v>1.5</v>
      </c>
      <c r="G40" s="30" t="s">
        <v>93</v>
      </c>
      <c r="H40" s="30" t="s">
        <v>92</v>
      </c>
      <c r="I40" s="30"/>
    </row>
    <row r="41" spans="4:9" x14ac:dyDescent="0.3">
      <c r="D41" s="30" t="s">
        <v>98</v>
      </c>
      <c r="E41" s="30">
        <v>0.8</v>
      </c>
      <c r="G41" s="30" t="s">
        <v>89</v>
      </c>
      <c r="H41" s="30" t="s">
        <v>89</v>
      </c>
      <c r="I41" s="30">
        <v>2</v>
      </c>
    </row>
    <row r="42" spans="4:9" x14ac:dyDescent="0.3">
      <c r="D42" s="30" t="s">
        <v>97</v>
      </c>
      <c r="E42" s="30">
        <v>0.9</v>
      </c>
      <c r="G42" s="30" t="s">
        <v>88</v>
      </c>
      <c r="H42" s="30" t="s">
        <v>89</v>
      </c>
      <c r="I42" s="30">
        <v>1.5</v>
      </c>
    </row>
    <row r="43" spans="4:9" x14ac:dyDescent="0.3">
      <c r="D43" s="30" t="s">
        <v>96</v>
      </c>
      <c r="E43" s="30">
        <v>1.5</v>
      </c>
      <c r="G43" s="30" t="s">
        <v>89</v>
      </c>
      <c r="H43" s="30" t="s">
        <v>88</v>
      </c>
      <c r="I43" s="30">
        <v>1</v>
      </c>
    </row>
    <row r="44" spans="4:9" x14ac:dyDescent="0.3">
      <c r="D44" s="30" t="s">
        <v>95</v>
      </c>
      <c r="E44" s="30">
        <v>1</v>
      </c>
      <c r="G44" s="30" t="s">
        <v>88</v>
      </c>
      <c r="H44" s="30" t="s">
        <v>88</v>
      </c>
      <c r="I44" s="30">
        <v>0.75</v>
      </c>
    </row>
    <row r="47" spans="4:9" x14ac:dyDescent="0.3">
      <c r="D47" t="s">
        <v>122</v>
      </c>
    </row>
    <row r="49" spans="4:10" x14ac:dyDescent="0.3">
      <c r="D49" t="s">
        <v>121</v>
      </c>
    </row>
    <row r="50" spans="4:10" x14ac:dyDescent="0.3">
      <c r="D50" s="30" t="s">
        <v>40</v>
      </c>
      <c r="E50" s="42">
        <v>10000</v>
      </c>
    </row>
    <row r="51" spans="4:10" x14ac:dyDescent="0.3">
      <c r="D51" s="30" t="s">
        <v>120</v>
      </c>
      <c r="E51" s="42">
        <v>7500</v>
      </c>
    </row>
    <row r="52" spans="4:10" x14ac:dyDescent="0.3">
      <c r="D52" s="30" t="s">
        <v>119</v>
      </c>
      <c r="E52" s="42">
        <v>1100</v>
      </c>
      <c r="I52" s="41"/>
    </row>
    <row r="53" spans="4:10" x14ac:dyDescent="0.3">
      <c r="D53" s="30" t="s">
        <v>118</v>
      </c>
      <c r="E53" s="42">
        <v>280</v>
      </c>
      <c r="I53" s="41"/>
    </row>
    <row r="54" spans="4:10" x14ac:dyDescent="0.3">
      <c r="D54" s="30" t="s">
        <v>117</v>
      </c>
      <c r="E54" s="42">
        <v>1000</v>
      </c>
      <c r="I54" s="41"/>
    </row>
    <row r="55" spans="4:10" x14ac:dyDescent="0.3">
      <c r="D55" s="30" t="s">
        <v>116</v>
      </c>
      <c r="E55" s="42">
        <v>200</v>
      </c>
      <c r="I55" s="41"/>
    </row>
    <row r="56" spans="4:10" x14ac:dyDescent="0.3">
      <c r="F56" s="41"/>
      <c r="I56" s="41"/>
    </row>
    <row r="57" spans="4:10" x14ac:dyDescent="0.3">
      <c r="G57" s="41"/>
      <c r="I57" s="41"/>
    </row>
    <row r="58" spans="4:10" x14ac:dyDescent="0.3">
      <c r="D58" t="s">
        <v>114</v>
      </c>
      <c r="H58" t="s">
        <v>115</v>
      </c>
    </row>
    <row r="59" spans="4:10" x14ac:dyDescent="0.3">
      <c r="D59" s="30" t="s">
        <v>114</v>
      </c>
      <c r="E59" s="30" t="s">
        <v>91</v>
      </c>
      <c r="F59" s="30" t="s">
        <v>90</v>
      </c>
      <c r="H59" s="30" t="s">
        <v>113</v>
      </c>
      <c r="I59" s="30" t="s">
        <v>91</v>
      </c>
      <c r="J59" s="30" t="s">
        <v>90</v>
      </c>
    </row>
    <row r="60" spans="4:10" x14ac:dyDescent="0.3">
      <c r="D60" s="30" t="s">
        <v>38</v>
      </c>
      <c r="E60" s="42">
        <v>1500</v>
      </c>
      <c r="F60" s="42">
        <v>1125</v>
      </c>
      <c r="H60" s="30" t="s">
        <v>112</v>
      </c>
      <c r="I60" s="42">
        <v>1000</v>
      </c>
      <c r="J60" s="42">
        <v>900</v>
      </c>
    </row>
    <row r="61" spans="4:10" x14ac:dyDescent="0.3">
      <c r="D61" s="30" t="s">
        <v>111</v>
      </c>
      <c r="E61" s="42">
        <v>1500</v>
      </c>
      <c r="F61" s="42">
        <v>1125</v>
      </c>
      <c r="H61" s="30" t="s">
        <v>110</v>
      </c>
      <c r="I61" s="42">
        <v>2000</v>
      </c>
      <c r="J61" s="42">
        <v>1575</v>
      </c>
    </row>
    <row r="62" spans="4:10" x14ac:dyDescent="0.3">
      <c r="D62" s="30" t="s">
        <v>109</v>
      </c>
      <c r="E62" s="42">
        <v>1500</v>
      </c>
      <c r="F62" s="42">
        <v>1125</v>
      </c>
      <c r="H62" s="30" t="s">
        <v>108</v>
      </c>
      <c r="I62" s="42">
        <v>2000</v>
      </c>
      <c r="J62" s="42">
        <v>1500</v>
      </c>
    </row>
    <row r="63" spans="4:10" x14ac:dyDescent="0.3">
      <c r="D63" s="30" t="s">
        <v>107</v>
      </c>
      <c r="E63" s="42">
        <v>2000</v>
      </c>
      <c r="F63" s="42">
        <v>1500</v>
      </c>
      <c r="H63" s="30" t="s">
        <v>106</v>
      </c>
      <c r="I63" s="42">
        <v>2000</v>
      </c>
      <c r="J63" s="42">
        <v>1425</v>
      </c>
    </row>
    <row r="64" spans="4:10" x14ac:dyDescent="0.3">
      <c r="D64" s="30" t="s">
        <v>105</v>
      </c>
      <c r="E64" s="42">
        <v>2000</v>
      </c>
      <c r="F64" s="42">
        <v>1500</v>
      </c>
      <c r="H64" s="30" t="s">
        <v>104</v>
      </c>
      <c r="I64" s="42">
        <v>3000</v>
      </c>
      <c r="J64" s="42">
        <v>2100</v>
      </c>
    </row>
    <row r="65" spans="4:10" x14ac:dyDescent="0.3">
      <c r="D65" s="30" t="s">
        <v>103</v>
      </c>
      <c r="E65" s="42">
        <v>1500</v>
      </c>
      <c r="F65" s="42">
        <v>1125</v>
      </c>
    </row>
    <row r="67" spans="4:10" x14ac:dyDescent="0.3">
      <c r="D67" t="s">
        <v>102</v>
      </c>
      <c r="H67" t="s">
        <v>101</v>
      </c>
    </row>
    <row r="68" spans="4:10" x14ac:dyDescent="0.3">
      <c r="D68" s="30" t="s">
        <v>49</v>
      </c>
      <c r="E68" s="30" t="s">
        <v>91</v>
      </c>
      <c r="F68" s="30" t="s">
        <v>90</v>
      </c>
      <c r="H68" s="30" t="s">
        <v>100</v>
      </c>
      <c r="I68" s="30" t="s">
        <v>91</v>
      </c>
      <c r="J68" s="30" t="s">
        <v>90</v>
      </c>
    </row>
    <row r="69" spans="4:10" x14ac:dyDescent="0.3">
      <c r="D69" s="30" t="s">
        <v>48</v>
      </c>
      <c r="E69" s="42">
        <v>2000</v>
      </c>
      <c r="F69" s="42">
        <v>1500</v>
      </c>
      <c r="H69" s="30" t="s">
        <v>99</v>
      </c>
      <c r="I69" s="42">
        <v>500</v>
      </c>
      <c r="J69" s="42">
        <v>550</v>
      </c>
    </row>
    <row r="70" spans="4:10" x14ac:dyDescent="0.3">
      <c r="D70" s="30" t="s">
        <v>47</v>
      </c>
      <c r="E70" s="42">
        <v>2000</v>
      </c>
      <c r="F70" s="42">
        <v>1600</v>
      </c>
      <c r="H70" s="30" t="s">
        <v>98</v>
      </c>
      <c r="I70" s="42">
        <v>1500</v>
      </c>
      <c r="J70" s="42">
        <v>900</v>
      </c>
    </row>
    <row r="71" spans="4:10" x14ac:dyDescent="0.3">
      <c r="D71" s="30" t="s">
        <v>46</v>
      </c>
      <c r="E71" s="42">
        <v>2000</v>
      </c>
      <c r="F71" s="42">
        <v>1500</v>
      </c>
      <c r="H71" s="30" t="s">
        <v>97</v>
      </c>
      <c r="I71" s="42">
        <v>1500</v>
      </c>
      <c r="J71" s="42">
        <v>1000</v>
      </c>
    </row>
    <row r="72" spans="4:10" x14ac:dyDescent="0.3">
      <c r="D72" s="30" t="s">
        <v>45</v>
      </c>
      <c r="E72" s="42">
        <v>2000</v>
      </c>
      <c r="F72" s="42">
        <v>1400</v>
      </c>
      <c r="H72" s="30" t="s">
        <v>96</v>
      </c>
      <c r="I72" s="42">
        <v>500</v>
      </c>
      <c r="J72" s="42">
        <v>550</v>
      </c>
    </row>
    <row r="73" spans="4:10" x14ac:dyDescent="0.3">
      <c r="D73" s="30" t="s">
        <v>44</v>
      </c>
      <c r="E73" s="42">
        <v>2000</v>
      </c>
      <c r="F73" s="42">
        <v>1500</v>
      </c>
      <c r="H73" s="30" t="s">
        <v>95</v>
      </c>
      <c r="I73" s="42">
        <v>6000</v>
      </c>
      <c r="J73" s="42">
        <v>4500</v>
      </c>
    </row>
    <row r="75" spans="4:10" x14ac:dyDescent="0.3">
      <c r="D75" t="s">
        <v>94</v>
      </c>
    </row>
    <row r="76" spans="4:10" x14ac:dyDescent="0.3">
      <c r="D76" s="30" t="s">
        <v>93</v>
      </c>
      <c r="E76" s="30" t="s">
        <v>92</v>
      </c>
      <c r="F76" s="30" t="s">
        <v>91</v>
      </c>
      <c r="G76" s="30" t="s">
        <v>90</v>
      </c>
    </row>
    <row r="77" spans="4:10" x14ac:dyDescent="0.3">
      <c r="D77" s="30" t="s">
        <v>89</v>
      </c>
      <c r="E77" s="30" t="s">
        <v>89</v>
      </c>
      <c r="F77" s="42">
        <v>1000</v>
      </c>
      <c r="G77" s="42">
        <v>700</v>
      </c>
    </row>
    <row r="78" spans="4:10" x14ac:dyDescent="0.3">
      <c r="D78" s="30" t="s">
        <v>88</v>
      </c>
      <c r="E78" s="30" t="s">
        <v>89</v>
      </c>
      <c r="F78" s="42">
        <v>1000</v>
      </c>
      <c r="G78" s="42">
        <v>750</v>
      </c>
    </row>
    <row r="79" spans="4:10" x14ac:dyDescent="0.3">
      <c r="D79" s="30" t="s">
        <v>89</v>
      </c>
      <c r="E79" s="30" t="s">
        <v>88</v>
      </c>
      <c r="F79" s="42">
        <v>2000</v>
      </c>
      <c r="G79" s="42">
        <v>1500</v>
      </c>
    </row>
    <row r="80" spans="4:10" x14ac:dyDescent="0.3">
      <c r="D80" s="30" t="s">
        <v>88</v>
      </c>
      <c r="E80" s="30" t="s">
        <v>88</v>
      </c>
      <c r="F80" s="42">
        <v>6000</v>
      </c>
      <c r="G80" s="42">
        <v>4550</v>
      </c>
    </row>
    <row r="81" spans="4:9" x14ac:dyDescent="0.3">
      <c r="G81" s="41"/>
      <c r="I81" s="41"/>
    </row>
    <row r="82" spans="4:9" ht="15" thickBot="1" x14ac:dyDescent="0.35"/>
    <row r="83" spans="4:9" ht="15" thickBot="1" x14ac:dyDescent="0.35">
      <c r="D83" s="399" t="s">
        <v>0</v>
      </c>
      <c r="E83" s="400"/>
      <c r="F83" s="400"/>
      <c r="G83" s="400"/>
      <c r="H83" s="401"/>
    </row>
  </sheetData>
  <mergeCells count="3">
    <mergeCell ref="D8:E8"/>
    <mergeCell ref="D15:E15"/>
    <mergeCell ref="D83:H8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78D53-94BA-4C37-A119-88EA98BE6961}">
  <sheetPr>
    <tabColor theme="9" tint="0.59999389629810485"/>
  </sheetPr>
  <dimension ref="A1:T117"/>
  <sheetViews>
    <sheetView workbookViewId="0">
      <selection activeCell="O51" sqref="O51"/>
    </sheetView>
  </sheetViews>
  <sheetFormatPr defaultRowHeight="14.4" x14ac:dyDescent="0.3"/>
  <cols>
    <col min="3" max="3" width="11.33203125" customWidth="1"/>
    <col min="4" max="4" width="20.5546875" customWidth="1"/>
    <col min="5" max="8" width="17.88671875" customWidth="1"/>
    <col min="9" max="9" width="16" customWidth="1"/>
    <col min="10" max="10" width="11.6640625" customWidth="1"/>
    <col min="11" max="11" width="13" customWidth="1"/>
    <col min="19" max="19" width="20.88671875" customWidth="1"/>
  </cols>
  <sheetData>
    <row r="1" spans="1:10" ht="15" thickBot="1" x14ac:dyDescent="0.35">
      <c r="A1" t="s">
        <v>138</v>
      </c>
    </row>
    <row r="2" spans="1:10" ht="15" thickBot="1" x14ac:dyDescent="0.35">
      <c r="G2" s="10" t="s">
        <v>16</v>
      </c>
      <c r="H2" s="9"/>
    </row>
    <row r="3" spans="1:10" x14ac:dyDescent="0.3">
      <c r="G3" s="8" t="s">
        <v>15</v>
      </c>
      <c r="H3" s="8"/>
    </row>
    <row r="4" spans="1:10" ht="15" thickBot="1" x14ac:dyDescent="0.35">
      <c r="G4" s="7" t="s">
        <v>14</v>
      </c>
      <c r="H4" s="7"/>
    </row>
    <row r="5" spans="1:10" ht="15.6" thickTop="1" thickBot="1" x14ac:dyDescent="0.35">
      <c r="G5" s="6" t="s">
        <v>13</v>
      </c>
      <c r="H5" s="6"/>
    </row>
    <row r="6" spans="1:10" ht="15" thickTop="1" x14ac:dyDescent="0.3">
      <c r="G6" s="4" t="s">
        <v>12</v>
      </c>
      <c r="H6" s="4"/>
    </row>
    <row r="7" spans="1:10" ht="15" thickBot="1" x14ac:dyDescent="0.35"/>
    <row r="8" spans="1:10" ht="15" thickBot="1" x14ac:dyDescent="0.35">
      <c r="D8" s="399" t="s">
        <v>3</v>
      </c>
      <c r="E8" s="401"/>
    </row>
    <row r="9" spans="1:10" s="40" customFormat="1" x14ac:dyDescent="0.3"/>
    <row r="10" spans="1:10" s="40" customFormat="1" x14ac:dyDescent="0.3">
      <c r="E10" s="40" t="s">
        <v>137</v>
      </c>
    </row>
    <row r="11" spans="1:10" s="40" customFormat="1" x14ac:dyDescent="0.3">
      <c r="E11" s="40" t="s">
        <v>136</v>
      </c>
    </row>
    <row r="12" spans="1:10" s="40" customFormat="1" x14ac:dyDescent="0.3">
      <c r="E12" s="40" t="s">
        <v>135</v>
      </c>
    </row>
    <row r="13" spans="1:10" s="40" customFormat="1" x14ac:dyDescent="0.3">
      <c r="B13"/>
      <c r="C13"/>
      <c r="D13"/>
      <c r="E13" s="40" t="s">
        <v>134</v>
      </c>
      <c r="F13"/>
      <c r="G13"/>
      <c r="H13"/>
    </row>
    <row r="14" spans="1:10" s="40" customFormat="1" ht="15" thickBot="1" x14ac:dyDescent="0.35">
      <c r="B14"/>
      <c r="C14"/>
      <c r="D14"/>
      <c r="E14"/>
      <c r="F14"/>
      <c r="G14"/>
      <c r="H14"/>
    </row>
    <row r="15" spans="1:10" ht="15" thickBot="1" x14ac:dyDescent="0.35">
      <c r="D15" s="399" t="s">
        <v>10</v>
      </c>
      <c r="E15" s="401"/>
    </row>
    <row r="16" spans="1:10" x14ac:dyDescent="0.3">
      <c r="I16" s="39"/>
      <c r="J16" s="39"/>
    </row>
    <row r="17" spans="4:8" x14ac:dyDescent="0.3">
      <c r="D17" s="28" t="s">
        <v>133</v>
      </c>
      <c r="E17" s="28" t="s">
        <v>7</v>
      </c>
      <c r="F17" s="28" t="s">
        <v>132</v>
      </c>
    </row>
    <row r="18" spans="4:8" x14ac:dyDescent="0.3">
      <c r="D18" s="28">
        <v>3</v>
      </c>
      <c r="E18" s="28">
        <v>23</v>
      </c>
      <c r="F18" s="28" t="s">
        <v>131</v>
      </c>
    </row>
    <row r="19" spans="4:8" x14ac:dyDescent="0.3">
      <c r="D19" s="28">
        <v>2</v>
      </c>
      <c r="E19" s="28">
        <v>30</v>
      </c>
      <c r="F19" s="28" t="s">
        <v>131</v>
      </c>
    </row>
    <row r="20" spans="4:8" x14ac:dyDescent="0.3">
      <c r="D20" s="28">
        <v>2</v>
      </c>
      <c r="E20" s="28">
        <v>55</v>
      </c>
      <c r="F20" s="28" t="s">
        <v>130</v>
      </c>
    </row>
    <row r="22" spans="4:8" x14ac:dyDescent="0.3">
      <c r="D22" s="40" t="s">
        <v>129</v>
      </c>
    </row>
    <row r="23" spans="4:8" x14ac:dyDescent="0.3">
      <c r="D23" s="35"/>
    </row>
    <row r="24" spans="4:8" x14ac:dyDescent="0.3">
      <c r="D24" s="30" t="s">
        <v>128</v>
      </c>
      <c r="E24" s="30" t="s">
        <v>127</v>
      </c>
      <c r="G24" s="30" t="s">
        <v>41</v>
      </c>
      <c r="H24" s="30" t="s">
        <v>123</v>
      </c>
    </row>
    <row r="25" spans="4:8" x14ac:dyDescent="0.3">
      <c r="D25" s="30" t="s">
        <v>54</v>
      </c>
      <c r="E25" s="30">
        <v>0.1</v>
      </c>
      <c r="G25" s="30" t="s">
        <v>38</v>
      </c>
      <c r="H25" s="30">
        <v>0.5</v>
      </c>
    </row>
    <row r="26" spans="4:8" x14ac:dyDescent="0.3">
      <c r="D26" s="30" t="s">
        <v>126</v>
      </c>
      <c r="E26" s="30">
        <v>0.03</v>
      </c>
      <c r="G26" s="30" t="s">
        <v>111</v>
      </c>
      <c r="H26" s="30">
        <v>0.75</v>
      </c>
    </row>
    <row r="27" spans="4:8" x14ac:dyDescent="0.3">
      <c r="D27" s="30" t="s">
        <v>117</v>
      </c>
      <c r="E27" s="30">
        <v>0.1</v>
      </c>
      <c r="G27" s="30" t="s">
        <v>109</v>
      </c>
      <c r="H27" s="30">
        <v>1.5</v>
      </c>
    </row>
    <row r="28" spans="4:8" x14ac:dyDescent="0.3">
      <c r="D28" s="30" t="s">
        <v>53</v>
      </c>
      <c r="E28" s="30">
        <v>0.02</v>
      </c>
      <c r="G28" s="30" t="s">
        <v>107</v>
      </c>
      <c r="H28" s="30">
        <v>0.5</v>
      </c>
    </row>
    <row r="29" spans="4:8" x14ac:dyDescent="0.3">
      <c r="D29" s="30" t="s">
        <v>125</v>
      </c>
      <c r="E29" s="30">
        <v>0.05</v>
      </c>
      <c r="G29" s="30" t="s">
        <v>105</v>
      </c>
      <c r="H29" s="30">
        <v>1.75</v>
      </c>
    </row>
    <row r="30" spans="4:8" x14ac:dyDescent="0.3">
      <c r="G30" s="30" t="s">
        <v>103</v>
      </c>
      <c r="H30" s="30">
        <v>1.25</v>
      </c>
    </row>
    <row r="32" spans="4:8" x14ac:dyDescent="0.3">
      <c r="D32" s="30" t="s">
        <v>113</v>
      </c>
      <c r="E32" s="30" t="s">
        <v>123</v>
      </c>
      <c r="G32" s="30" t="s">
        <v>49</v>
      </c>
      <c r="H32" s="30" t="s">
        <v>123</v>
      </c>
    </row>
    <row r="33" spans="4:9" x14ac:dyDescent="0.3">
      <c r="D33" s="30" t="s">
        <v>112</v>
      </c>
      <c r="E33" s="30">
        <v>1.1000000000000001</v>
      </c>
      <c r="G33" s="30" t="s">
        <v>48</v>
      </c>
      <c r="H33" s="30">
        <v>1.1499999999999999</v>
      </c>
    </row>
    <row r="34" spans="4:9" x14ac:dyDescent="0.3">
      <c r="D34" s="30" t="s">
        <v>110</v>
      </c>
      <c r="E34" s="30">
        <v>1.05</v>
      </c>
      <c r="G34" s="30" t="s">
        <v>47</v>
      </c>
      <c r="H34" s="30">
        <v>0.9</v>
      </c>
    </row>
    <row r="35" spans="4:9" x14ac:dyDescent="0.3">
      <c r="D35" s="30" t="s">
        <v>108</v>
      </c>
      <c r="E35" s="30">
        <v>1</v>
      </c>
      <c r="G35" s="30" t="s">
        <v>46</v>
      </c>
      <c r="H35" s="30">
        <v>0.9</v>
      </c>
    </row>
    <row r="36" spans="4:9" x14ac:dyDescent="0.3">
      <c r="D36" s="30" t="s">
        <v>106</v>
      </c>
      <c r="E36" s="30">
        <v>0.95</v>
      </c>
      <c r="G36" s="30" t="s">
        <v>45</v>
      </c>
      <c r="H36" s="30">
        <v>1.1000000000000001</v>
      </c>
    </row>
    <row r="37" spans="4:9" x14ac:dyDescent="0.3">
      <c r="D37" s="30" t="s">
        <v>104</v>
      </c>
      <c r="E37" s="30">
        <v>0.9</v>
      </c>
      <c r="G37" s="30" t="s">
        <v>44</v>
      </c>
      <c r="H37" s="30">
        <v>1</v>
      </c>
    </row>
    <row r="39" spans="4:9" x14ac:dyDescent="0.3">
      <c r="D39" s="30" t="s">
        <v>100</v>
      </c>
      <c r="E39" s="30" t="s">
        <v>123</v>
      </c>
      <c r="G39" s="30" t="s">
        <v>124</v>
      </c>
      <c r="H39" s="30"/>
      <c r="I39" s="30" t="s">
        <v>123</v>
      </c>
    </row>
    <row r="40" spans="4:9" x14ac:dyDescent="0.3">
      <c r="D40" s="30" t="s">
        <v>99</v>
      </c>
      <c r="E40" s="30">
        <v>1.5</v>
      </c>
      <c r="G40" s="30" t="s">
        <v>93</v>
      </c>
      <c r="H40" s="30" t="s">
        <v>92</v>
      </c>
      <c r="I40" s="30"/>
    </row>
    <row r="41" spans="4:9" x14ac:dyDescent="0.3">
      <c r="D41" s="30" t="s">
        <v>98</v>
      </c>
      <c r="E41" s="30">
        <v>0.8</v>
      </c>
      <c r="G41" s="30" t="s">
        <v>89</v>
      </c>
      <c r="H41" s="30" t="s">
        <v>89</v>
      </c>
      <c r="I41" s="30">
        <v>2</v>
      </c>
    </row>
    <row r="42" spans="4:9" x14ac:dyDescent="0.3">
      <c r="D42" s="30" t="s">
        <v>97</v>
      </c>
      <c r="E42" s="30">
        <v>0.9</v>
      </c>
      <c r="G42" s="30" t="s">
        <v>88</v>
      </c>
      <c r="H42" s="30" t="s">
        <v>89</v>
      </c>
      <c r="I42" s="30">
        <v>1.5</v>
      </c>
    </row>
    <row r="43" spans="4:9" x14ac:dyDescent="0.3">
      <c r="D43" s="30" t="s">
        <v>96</v>
      </c>
      <c r="E43" s="30">
        <v>1.5</v>
      </c>
      <c r="G43" s="30" t="s">
        <v>89</v>
      </c>
      <c r="H43" s="30" t="s">
        <v>88</v>
      </c>
      <c r="I43" s="30">
        <v>1</v>
      </c>
    </row>
    <row r="44" spans="4:9" x14ac:dyDescent="0.3">
      <c r="D44" s="30" t="s">
        <v>95</v>
      </c>
      <c r="E44" s="30">
        <v>1</v>
      </c>
      <c r="G44" s="30" t="s">
        <v>88</v>
      </c>
      <c r="H44" s="30" t="s">
        <v>88</v>
      </c>
      <c r="I44" s="30">
        <v>0.75</v>
      </c>
    </row>
    <row r="47" spans="4:9" x14ac:dyDescent="0.3">
      <c r="D47" t="s">
        <v>122</v>
      </c>
    </row>
    <row r="49" spans="4:10" x14ac:dyDescent="0.3">
      <c r="D49" t="s">
        <v>121</v>
      </c>
    </row>
    <row r="50" spans="4:10" x14ac:dyDescent="0.3">
      <c r="D50" s="30" t="s">
        <v>40</v>
      </c>
      <c r="E50" s="42">
        <v>10000</v>
      </c>
    </row>
    <row r="51" spans="4:10" x14ac:dyDescent="0.3">
      <c r="D51" s="30" t="s">
        <v>120</v>
      </c>
      <c r="E51" s="42">
        <v>7500</v>
      </c>
    </row>
    <row r="52" spans="4:10" x14ac:dyDescent="0.3">
      <c r="D52" s="30" t="s">
        <v>119</v>
      </c>
      <c r="E52" s="42">
        <v>1100</v>
      </c>
      <c r="I52" s="41"/>
    </row>
    <row r="53" spans="4:10" x14ac:dyDescent="0.3">
      <c r="D53" s="30" t="s">
        <v>118</v>
      </c>
      <c r="E53" s="42">
        <v>280</v>
      </c>
      <c r="I53" s="41"/>
    </row>
    <row r="54" spans="4:10" x14ac:dyDescent="0.3">
      <c r="D54" s="30" t="s">
        <v>117</v>
      </c>
      <c r="E54" s="42">
        <v>1000</v>
      </c>
      <c r="I54" s="41"/>
    </row>
    <row r="55" spans="4:10" x14ac:dyDescent="0.3">
      <c r="D55" s="30" t="s">
        <v>116</v>
      </c>
      <c r="E55" s="42">
        <v>200</v>
      </c>
      <c r="I55" s="41"/>
    </row>
    <row r="56" spans="4:10" x14ac:dyDescent="0.3">
      <c r="F56" s="41"/>
      <c r="I56" s="41"/>
    </row>
    <row r="57" spans="4:10" x14ac:dyDescent="0.3">
      <c r="G57" s="41"/>
      <c r="I57" s="41"/>
    </row>
    <row r="58" spans="4:10" x14ac:dyDescent="0.3">
      <c r="D58" t="s">
        <v>114</v>
      </c>
      <c r="H58" t="s">
        <v>115</v>
      </c>
    </row>
    <row r="59" spans="4:10" x14ac:dyDescent="0.3">
      <c r="D59" s="30" t="s">
        <v>114</v>
      </c>
      <c r="E59" s="30" t="s">
        <v>91</v>
      </c>
      <c r="F59" s="30" t="s">
        <v>90</v>
      </c>
      <c r="H59" s="30" t="s">
        <v>113</v>
      </c>
      <c r="I59" s="30" t="s">
        <v>91</v>
      </c>
      <c r="J59" s="30" t="s">
        <v>90</v>
      </c>
    </row>
    <row r="60" spans="4:10" x14ac:dyDescent="0.3">
      <c r="D60" s="30" t="s">
        <v>38</v>
      </c>
      <c r="E60" s="42">
        <v>1500</v>
      </c>
      <c r="F60" s="42">
        <v>1125</v>
      </c>
      <c r="H60" s="30" t="s">
        <v>112</v>
      </c>
      <c r="I60" s="42">
        <v>1000</v>
      </c>
      <c r="J60" s="42">
        <v>900</v>
      </c>
    </row>
    <row r="61" spans="4:10" x14ac:dyDescent="0.3">
      <c r="D61" s="30" t="s">
        <v>111</v>
      </c>
      <c r="E61" s="42">
        <v>1500</v>
      </c>
      <c r="F61" s="42">
        <v>1125</v>
      </c>
      <c r="H61" s="30" t="s">
        <v>110</v>
      </c>
      <c r="I61" s="42">
        <v>2000</v>
      </c>
      <c r="J61" s="42">
        <v>1575</v>
      </c>
    </row>
    <row r="62" spans="4:10" x14ac:dyDescent="0.3">
      <c r="D62" s="30" t="s">
        <v>109</v>
      </c>
      <c r="E62" s="42">
        <v>1500</v>
      </c>
      <c r="F62" s="42">
        <v>1125</v>
      </c>
      <c r="H62" s="30" t="s">
        <v>108</v>
      </c>
      <c r="I62" s="42">
        <v>2000</v>
      </c>
      <c r="J62" s="42">
        <v>1500</v>
      </c>
    </row>
    <row r="63" spans="4:10" x14ac:dyDescent="0.3">
      <c r="D63" s="30" t="s">
        <v>107</v>
      </c>
      <c r="E63" s="42">
        <v>2000</v>
      </c>
      <c r="F63" s="42">
        <v>1500</v>
      </c>
      <c r="H63" s="30" t="s">
        <v>106</v>
      </c>
      <c r="I63" s="42">
        <v>2000</v>
      </c>
      <c r="J63" s="42">
        <v>1425</v>
      </c>
    </row>
    <row r="64" spans="4:10" x14ac:dyDescent="0.3">
      <c r="D64" s="30" t="s">
        <v>105</v>
      </c>
      <c r="E64" s="42">
        <v>2000</v>
      </c>
      <c r="F64" s="42">
        <v>1500</v>
      </c>
      <c r="H64" s="30" t="s">
        <v>104</v>
      </c>
      <c r="I64" s="42">
        <v>3000</v>
      </c>
      <c r="J64" s="42">
        <v>2100</v>
      </c>
    </row>
    <row r="65" spans="4:10" x14ac:dyDescent="0.3">
      <c r="D65" s="30" t="s">
        <v>103</v>
      </c>
      <c r="E65" s="42">
        <v>1500</v>
      </c>
      <c r="F65" s="42">
        <v>1125</v>
      </c>
    </row>
    <row r="67" spans="4:10" x14ac:dyDescent="0.3">
      <c r="D67" t="s">
        <v>102</v>
      </c>
      <c r="H67" t="s">
        <v>101</v>
      </c>
    </row>
    <row r="68" spans="4:10" x14ac:dyDescent="0.3">
      <c r="D68" s="30" t="s">
        <v>49</v>
      </c>
      <c r="E68" s="30" t="s">
        <v>91</v>
      </c>
      <c r="F68" s="30" t="s">
        <v>90</v>
      </c>
      <c r="H68" s="30" t="s">
        <v>100</v>
      </c>
      <c r="I68" s="30" t="s">
        <v>91</v>
      </c>
      <c r="J68" s="30" t="s">
        <v>90</v>
      </c>
    </row>
    <row r="69" spans="4:10" x14ac:dyDescent="0.3">
      <c r="D69" s="30" t="s">
        <v>48</v>
      </c>
      <c r="E69" s="42">
        <v>2000</v>
      </c>
      <c r="F69" s="42">
        <v>1500</v>
      </c>
      <c r="H69" s="30" t="s">
        <v>99</v>
      </c>
      <c r="I69" s="42">
        <v>500</v>
      </c>
      <c r="J69" s="42">
        <v>550</v>
      </c>
    </row>
    <row r="70" spans="4:10" x14ac:dyDescent="0.3">
      <c r="D70" s="30" t="s">
        <v>47</v>
      </c>
      <c r="E70" s="42">
        <v>2000</v>
      </c>
      <c r="F70" s="42">
        <v>1600</v>
      </c>
      <c r="H70" s="30" t="s">
        <v>98</v>
      </c>
      <c r="I70" s="42">
        <v>1500</v>
      </c>
      <c r="J70" s="42">
        <v>900</v>
      </c>
    </row>
    <row r="71" spans="4:10" x14ac:dyDescent="0.3">
      <c r="D71" s="30" t="s">
        <v>46</v>
      </c>
      <c r="E71" s="42">
        <v>2000</v>
      </c>
      <c r="F71" s="42">
        <v>1500</v>
      </c>
      <c r="H71" s="30" t="s">
        <v>97</v>
      </c>
      <c r="I71" s="42">
        <v>1500</v>
      </c>
      <c r="J71" s="42">
        <v>1000</v>
      </c>
    </row>
    <row r="72" spans="4:10" x14ac:dyDescent="0.3">
      <c r="D72" s="30" t="s">
        <v>45</v>
      </c>
      <c r="E72" s="42">
        <v>2000</v>
      </c>
      <c r="F72" s="42">
        <v>1400</v>
      </c>
      <c r="H72" s="30" t="s">
        <v>96</v>
      </c>
      <c r="I72" s="42">
        <v>500</v>
      </c>
      <c r="J72" s="42">
        <v>550</v>
      </c>
    </row>
    <row r="73" spans="4:10" x14ac:dyDescent="0.3">
      <c r="D73" s="30" t="s">
        <v>44</v>
      </c>
      <c r="E73" s="42">
        <v>2000</v>
      </c>
      <c r="F73" s="42">
        <v>1500</v>
      </c>
      <c r="H73" s="30" t="s">
        <v>95</v>
      </c>
      <c r="I73" s="42">
        <v>6000</v>
      </c>
      <c r="J73" s="42">
        <v>4500</v>
      </c>
    </row>
    <row r="75" spans="4:10" x14ac:dyDescent="0.3">
      <c r="D75" t="s">
        <v>94</v>
      </c>
    </row>
    <row r="76" spans="4:10" x14ac:dyDescent="0.3">
      <c r="D76" s="30" t="s">
        <v>93</v>
      </c>
      <c r="E76" s="30" t="s">
        <v>92</v>
      </c>
      <c r="F76" s="30" t="s">
        <v>91</v>
      </c>
      <c r="G76" s="30" t="s">
        <v>90</v>
      </c>
    </row>
    <row r="77" spans="4:10" x14ac:dyDescent="0.3">
      <c r="D77" s="30" t="s">
        <v>89</v>
      </c>
      <c r="E77" s="30" t="s">
        <v>89</v>
      </c>
      <c r="F77" s="42">
        <v>1000</v>
      </c>
      <c r="G77" s="42">
        <v>700</v>
      </c>
    </row>
    <row r="78" spans="4:10" x14ac:dyDescent="0.3">
      <c r="D78" s="30" t="s">
        <v>88</v>
      </c>
      <c r="E78" s="30" t="s">
        <v>89</v>
      </c>
      <c r="F78" s="42">
        <v>1000</v>
      </c>
      <c r="G78" s="42">
        <v>750</v>
      </c>
    </row>
    <row r="79" spans="4:10" x14ac:dyDescent="0.3">
      <c r="D79" s="30" t="s">
        <v>89</v>
      </c>
      <c r="E79" s="30" t="s">
        <v>88</v>
      </c>
      <c r="F79" s="42">
        <v>2000</v>
      </c>
      <c r="G79" s="42">
        <v>1500</v>
      </c>
    </row>
    <row r="80" spans="4:10" x14ac:dyDescent="0.3">
      <c r="D80" s="30" t="s">
        <v>88</v>
      </c>
      <c r="E80" s="30" t="s">
        <v>88</v>
      </c>
      <c r="F80" s="42">
        <v>6000</v>
      </c>
      <c r="G80" s="42">
        <v>4550</v>
      </c>
    </row>
    <row r="81" spans="4:20" x14ac:dyDescent="0.3">
      <c r="G81" s="41"/>
      <c r="I81" s="41"/>
    </row>
    <row r="82" spans="4:20" ht="15" thickBot="1" x14ac:dyDescent="0.35"/>
    <row r="83" spans="4:20" ht="15" thickBot="1" x14ac:dyDescent="0.35">
      <c r="D83" s="399" t="s">
        <v>0</v>
      </c>
      <c r="E83" s="400"/>
      <c r="F83" s="400"/>
      <c r="G83" s="400"/>
      <c r="H83" s="401"/>
    </row>
    <row r="85" spans="4:20" x14ac:dyDescent="0.3">
      <c r="D85" s="68" t="s">
        <v>545</v>
      </c>
      <c r="I85" s="34">
        <v>1</v>
      </c>
      <c r="J85" t="s">
        <v>544</v>
      </c>
      <c r="L85" s="8" t="s">
        <v>543</v>
      </c>
      <c r="M85" s="8"/>
      <c r="N85" s="8"/>
      <c r="O85" s="8"/>
      <c r="P85" s="8"/>
      <c r="Q85" s="8"/>
    </row>
    <row r="86" spans="4:20" x14ac:dyDescent="0.3">
      <c r="D86" s="73">
        <f>1-SUM(E25:E29)</f>
        <v>0.7</v>
      </c>
      <c r="E86" t="s">
        <v>542</v>
      </c>
      <c r="L86" s="153" t="s">
        <v>541</v>
      </c>
      <c r="M86" s="8"/>
      <c r="N86" s="8"/>
      <c r="O86" s="8"/>
      <c r="P86" s="8"/>
      <c r="Q86" s="8"/>
      <c r="R86" s="8"/>
      <c r="S86" s="153"/>
      <c r="T86" s="153"/>
    </row>
    <row r="87" spans="4:20" x14ac:dyDescent="0.3">
      <c r="D87" s="73">
        <f>E51/E50</f>
        <v>0.75</v>
      </c>
      <c r="E87" t="s">
        <v>540</v>
      </c>
    </row>
    <row r="88" spans="4:20" x14ac:dyDescent="0.3">
      <c r="D88" s="125">
        <f>D87/D86-1</f>
        <v>7.1428571428571397E-2</v>
      </c>
      <c r="E88" t="s">
        <v>539</v>
      </c>
      <c r="F88" s="8" t="s">
        <v>520</v>
      </c>
      <c r="G88" s="8"/>
      <c r="H88" s="8"/>
      <c r="I88" s="8"/>
      <c r="J88" s="8"/>
      <c r="K88" s="8"/>
      <c r="L88" s="8"/>
    </row>
    <row r="90" spans="4:20" x14ac:dyDescent="0.3">
      <c r="D90" s="68" t="s">
        <v>538</v>
      </c>
    </row>
    <row r="91" spans="4:20" x14ac:dyDescent="0.3">
      <c r="D91" s="68"/>
    </row>
    <row r="92" spans="4:20" x14ac:dyDescent="0.3">
      <c r="D92" s="27"/>
      <c r="E92" s="152" t="s">
        <v>537</v>
      </c>
      <c r="F92" s="151" t="s">
        <v>536</v>
      </c>
      <c r="G92" s="151" t="s">
        <v>535</v>
      </c>
      <c r="H92" s="151" t="s">
        <v>534</v>
      </c>
      <c r="I92" s="151" t="s">
        <v>533</v>
      </c>
    </row>
    <row r="93" spans="4:20" x14ac:dyDescent="0.3">
      <c r="D93" s="143"/>
      <c r="E93" s="150" t="s">
        <v>123</v>
      </c>
      <c r="F93" s="149" t="s">
        <v>41</v>
      </c>
      <c r="G93" s="149" t="s">
        <v>532</v>
      </c>
      <c r="H93" s="149" t="s">
        <v>531</v>
      </c>
      <c r="I93" s="149" t="s">
        <v>530</v>
      </c>
    </row>
    <row r="94" spans="4:20" x14ac:dyDescent="0.3">
      <c r="D94" s="143" t="s">
        <v>41</v>
      </c>
      <c r="E94" s="39"/>
      <c r="F94" s="39"/>
      <c r="G94" s="39"/>
      <c r="H94" s="39"/>
      <c r="I94" s="148"/>
    </row>
    <row r="95" spans="4:20" x14ac:dyDescent="0.3">
      <c r="D95" s="23" t="s">
        <v>38</v>
      </c>
      <c r="E95" s="147">
        <f>H25</f>
        <v>0.5</v>
      </c>
      <c r="F95" s="146">
        <f>F60/E60</f>
        <v>0.75</v>
      </c>
      <c r="G95" s="146">
        <f>F95/$D$87</f>
        <v>1</v>
      </c>
      <c r="H95" s="146">
        <f>E95*G95</f>
        <v>0.5</v>
      </c>
      <c r="I95" s="145">
        <f>$I$85*H95+(1-$I$85)*E95</f>
        <v>0.5</v>
      </c>
    </row>
    <row r="96" spans="4:20" x14ac:dyDescent="0.3">
      <c r="D96" s="23" t="s">
        <v>111</v>
      </c>
      <c r="E96" s="142">
        <f>H26</f>
        <v>0.75</v>
      </c>
      <c r="F96" s="141">
        <f>F61/E61</f>
        <v>0.75</v>
      </c>
      <c r="G96" s="141">
        <f>F96/$D$87</f>
        <v>1</v>
      </c>
      <c r="H96" s="141">
        <f>E96*G96</f>
        <v>0.75</v>
      </c>
      <c r="I96" s="140">
        <f>$I$85*H96+(1-$I$85)*E96</f>
        <v>0.75</v>
      </c>
    </row>
    <row r="97" spans="3:9" x14ac:dyDescent="0.3">
      <c r="D97" s="21" t="s">
        <v>103</v>
      </c>
      <c r="E97" s="139">
        <f>H30</f>
        <v>1.25</v>
      </c>
      <c r="F97" s="138">
        <f>F65/E65</f>
        <v>0.75</v>
      </c>
      <c r="G97" s="138">
        <f>F97/$D$87</f>
        <v>1</v>
      </c>
      <c r="H97" s="138">
        <f>E97*G97</f>
        <v>1.25</v>
      </c>
      <c r="I97" s="137">
        <f>$I$85*H97+(1-$I$85)*E97</f>
        <v>1.25</v>
      </c>
    </row>
    <row r="98" spans="3:9" x14ac:dyDescent="0.3">
      <c r="D98" s="143" t="s">
        <v>49</v>
      </c>
      <c r="E98" s="142"/>
      <c r="F98" s="141"/>
      <c r="G98" s="141"/>
      <c r="H98" s="141"/>
      <c r="I98" s="140"/>
    </row>
    <row r="99" spans="3:9" x14ac:dyDescent="0.3">
      <c r="D99" s="21" t="s">
        <v>48</v>
      </c>
      <c r="E99" s="139">
        <f>$H$33</f>
        <v>1.1499999999999999</v>
      </c>
      <c r="F99" s="138">
        <f>$F$69/$E$69</f>
        <v>0.75</v>
      </c>
      <c r="G99" s="138">
        <f>F99/$D$87</f>
        <v>1</v>
      </c>
      <c r="H99" s="138">
        <f>E99*G99</f>
        <v>1.1499999999999999</v>
      </c>
      <c r="I99" s="137">
        <f>$I$85*H99+(1-$I$85)*E99</f>
        <v>1.1499999999999999</v>
      </c>
    </row>
    <row r="100" spans="3:9" x14ac:dyDescent="0.3">
      <c r="C100" s="144" t="s">
        <v>529</v>
      </c>
      <c r="D100" s="143" t="s">
        <v>528</v>
      </c>
      <c r="E100" s="142"/>
      <c r="F100" s="141"/>
      <c r="G100" s="141"/>
      <c r="H100" s="141"/>
      <c r="I100" s="140"/>
    </row>
    <row r="101" spans="3:9" x14ac:dyDescent="0.3">
      <c r="C101" t="s">
        <v>88</v>
      </c>
      <c r="D101" s="21" t="s">
        <v>88</v>
      </c>
      <c r="E101" s="139">
        <f>$I$44</f>
        <v>0.75</v>
      </c>
      <c r="F101" s="138">
        <f>$G$80/$F$80</f>
        <v>0.7583333333333333</v>
      </c>
      <c r="G101" s="138">
        <f>F101/$D$87</f>
        <v>1.0111111111111111</v>
      </c>
      <c r="H101" s="138">
        <f>E101*G101</f>
        <v>0.7583333333333333</v>
      </c>
      <c r="I101" s="137">
        <f>$I$85*H101+(1-$I$85)*E101</f>
        <v>0.7583333333333333</v>
      </c>
    </row>
    <row r="102" spans="3:9" x14ac:dyDescent="0.3">
      <c r="D102" s="143" t="s">
        <v>113</v>
      </c>
      <c r="E102" s="142"/>
      <c r="F102" s="141"/>
      <c r="G102" s="141"/>
      <c r="H102" s="141"/>
      <c r="I102" s="140"/>
    </row>
    <row r="103" spans="3:9" x14ac:dyDescent="0.3">
      <c r="D103" s="21" t="s">
        <v>112</v>
      </c>
      <c r="E103" s="139">
        <f>$E$33</f>
        <v>1.1000000000000001</v>
      </c>
      <c r="F103" s="138">
        <f>$J$60/$I$60</f>
        <v>0.9</v>
      </c>
      <c r="G103" s="138">
        <f>F103/$D$87</f>
        <v>1.2</v>
      </c>
      <c r="H103" s="138">
        <f>E103*G103</f>
        <v>1.32</v>
      </c>
      <c r="I103" s="137">
        <f>$I$85*H103+(1-$I$85)*E103</f>
        <v>1.32</v>
      </c>
    </row>
    <row r="104" spans="3:9" x14ac:dyDescent="0.3">
      <c r="D104" s="143" t="s">
        <v>100</v>
      </c>
      <c r="E104" s="142"/>
      <c r="F104" s="141"/>
      <c r="G104" s="141"/>
      <c r="H104" s="141"/>
      <c r="I104" s="140"/>
    </row>
    <row r="105" spans="3:9" x14ac:dyDescent="0.3">
      <c r="D105" s="21" t="s">
        <v>96</v>
      </c>
      <c r="E105" s="139">
        <f>$E$43</f>
        <v>1.5</v>
      </c>
      <c r="F105" s="138">
        <f>$J$72/$I$72</f>
        <v>1.1000000000000001</v>
      </c>
      <c r="G105" s="138">
        <f>F105/$D$87</f>
        <v>1.4666666666666668</v>
      </c>
      <c r="H105" s="138">
        <f>E105*G105</f>
        <v>2.2000000000000002</v>
      </c>
      <c r="I105" s="137">
        <f>$I$85*H105+(1-$I$85)*E105</f>
        <v>2.2000000000000002</v>
      </c>
    </row>
    <row r="108" spans="3:9" x14ac:dyDescent="0.3">
      <c r="D108" s="123" t="s">
        <v>527</v>
      </c>
    </row>
    <row r="110" spans="3:9" x14ac:dyDescent="0.3">
      <c r="D110" s="2" t="s">
        <v>526</v>
      </c>
      <c r="E110" s="2" t="s">
        <v>525</v>
      </c>
    </row>
    <row r="111" spans="3:9" x14ac:dyDescent="0.3">
      <c r="D111" t="s">
        <v>114</v>
      </c>
      <c r="E111" s="135">
        <v>1</v>
      </c>
    </row>
    <row r="112" spans="3:9" x14ac:dyDescent="0.3">
      <c r="D112" t="s">
        <v>49</v>
      </c>
      <c r="E112" s="135">
        <f>I99/E99</f>
        <v>1</v>
      </c>
    </row>
    <row r="113" spans="4:12" x14ac:dyDescent="0.3">
      <c r="D113" t="s">
        <v>524</v>
      </c>
      <c r="E113" s="135">
        <f>I101/E101</f>
        <v>1.0111111111111111</v>
      </c>
    </row>
    <row r="114" spans="4:12" x14ac:dyDescent="0.3">
      <c r="D114" t="s">
        <v>523</v>
      </c>
      <c r="E114" s="135">
        <f>I103/E103</f>
        <v>1.2</v>
      </c>
    </row>
    <row r="115" spans="4:12" x14ac:dyDescent="0.3">
      <c r="D115" s="2" t="s">
        <v>100</v>
      </c>
      <c r="E115" s="136">
        <f>I105/E105</f>
        <v>1.4666666666666668</v>
      </c>
    </row>
    <row r="116" spans="4:12" x14ac:dyDescent="0.3">
      <c r="D116" t="s">
        <v>522</v>
      </c>
      <c r="E116" s="135">
        <f>PRODUCT(E111:E115)</f>
        <v>1.7795555555555553</v>
      </c>
    </row>
    <row r="117" spans="4:12" x14ac:dyDescent="0.3">
      <c r="D117" t="s">
        <v>521</v>
      </c>
      <c r="E117" s="11">
        <f>E116-1</f>
        <v>0.77955555555555534</v>
      </c>
      <c r="F117" s="8" t="s">
        <v>520</v>
      </c>
      <c r="G117" s="8"/>
      <c r="H117" s="8"/>
      <c r="I117" s="8"/>
      <c r="J117" s="8"/>
      <c r="K117" s="8"/>
      <c r="L117" s="8"/>
    </row>
  </sheetData>
  <mergeCells count="3">
    <mergeCell ref="D8:E8"/>
    <mergeCell ref="D15:E15"/>
    <mergeCell ref="D83:H8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174B-89BD-4A6B-93B8-08A1EAF53278}">
  <sheetPr>
    <tabColor theme="5" tint="0.39997558519241921"/>
  </sheetPr>
  <dimension ref="A1:Q98"/>
  <sheetViews>
    <sheetView workbookViewId="0">
      <selection activeCell="U46" sqref="U46"/>
    </sheetView>
  </sheetViews>
  <sheetFormatPr defaultRowHeight="14.4" x14ac:dyDescent="0.3"/>
  <cols>
    <col min="4" max="10" width="13.21875" customWidth="1"/>
    <col min="11" max="11" width="14.33203125" customWidth="1"/>
    <col min="12" max="19" width="11.6640625" customWidth="1"/>
  </cols>
  <sheetData>
    <row r="1" spans="1:8" ht="15" thickBot="1" x14ac:dyDescent="0.35">
      <c r="A1" t="s">
        <v>183</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1"/>
    </row>
    <row r="9" spans="1:8" s="40" customFormat="1" x14ac:dyDescent="0.3"/>
    <row r="10" spans="1:8" x14ac:dyDescent="0.3">
      <c r="E10" t="s">
        <v>182</v>
      </c>
    </row>
    <row r="11" spans="1:8" x14ac:dyDescent="0.3">
      <c r="E11" t="s">
        <v>181</v>
      </c>
    </row>
    <row r="12" spans="1:8" x14ac:dyDescent="0.3">
      <c r="E12" t="s">
        <v>180</v>
      </c>
    </row>
    <row r="13" spans="1:8" x14ac:dyDescent="0.3">
      <c r="E13" t="s">
        <v>179</v>
      </c>
    </row>
    <row r="14" spans="1:8" s="40" customFormat="1" x14ac:dyDescent="0.3">
      <c r="E14" s="40" t="s">
        <v>178</v>
      </c>
    </row>
    <row r="15" spans="1:8" s="40" customFormat="1" x14ac:dyDescent="0.3">
      <c r="D15" s="40">
        <v>3.5000000000000003E-2</v>
      </c>
      <c r="E15" s="40" t="s">
        <v>177</v>
      </c>
    </row>
    <row r="16" spans="1:8" s="40" customFormat="1" x14ac:dyDescent="0.3">
      <c r="D16" s="40">
        <v>0.01</v>
      </c>
      <c r="E16" s="40" t="s">
        <v>176</v>
      </c>
    </row>
    <row r="17" spans="4:6" s="40" customFormat="1" x14ac:dyDescent="0.3">
      <c r="E17" s="40" t="s">
        <v>175</v>
      </c>
    </row>
    <row r="18" spans="4:6" s="40" customFormat="1" x14ac:dyDescent="0.3">
      <c r="E18" s="40" t="s">
        <v>174</v>
      </c>
    </row>
    <row r="19" spans="4:6" s="40" customFormat="1" x14ac:dyDescent="0.3"/>
    <row r="20" spans="4:6" s="40" customFormat="1" x14ac:dyDescent="0.3"/>
    <row r="21" spans="4:6" s="40" customFormat="1" x14ac:dyDescent="0.3">
      <c r="D21" s="58" t="s">
        <v>173</v>
      </c>
      <c r="E21" s="412" t="s">
        <v>172</v>
      </c>
      <c r="F21" s="412"/>
    </row>
    <row r="22" spans="4:6" s="40" customFormat="1" ht="15" thickBot="1" x14ac:dyDescent="0.35">
      <c r="D22" s="60" t="s">
        <v>7</v>
      </c>
      <c r="E22" s="60" t="s">
        <v>130</v>
      </c>
      <c r="F22" s="60" t="s">
        <v>131</v>
      </c>
    </row>
    <row r="23" spans="4:6" s="40" customFormat="1" ht="15" thickTop="1" x14ac:dyDescent="0.3">
      <c r="D23" s="59" t="s">
        <v>171</v>
      </c>
      <c r="E23" s="59">
        <v>2E-3</v>
      </c>
      <c r="F23" s="59">
        <v>4.0000000000000001E-3</v>
      </c>
    </row>
    <row r="24" spans="4:6" s="40" customFormat="1" x14ac:dyDescent="0.3">
      <c r="D24" s="58" t="s">
        <v>170</v>
      </c>
      <c r="E24" s="58">
        <v>5.0000000000000001E-3</v>
      </c>
      <c r="F24" s="58">
        <v>7.0000000000000001E-3</v>
      </c>
    </row>
    <row r="25" spans="4:6" s="40" customFormat="1" x14ac:dyDescent="0.3">
      <c r="D25" s="58" t="s">
        <v>169</v>
      </c>
      <c r="E25" s="58">
        <v>8.0000000000000002E-3</v>
      </c>
      <c r="F25" s="58">
        <v>0.01</v>
      </c>
    </row>
    <row r="26" spans="4:6" s="40" customFormat="1" x14ac:dyDescent="0.3">
      <c r="D26" s="58" t="s">
        <v>168</v>
      </c>
      <c r="E26" s="58">
        <v>1.2E-2</v>
      </c>
      <c r="F26" s="58">
        <v>1.4999999999999999E-2</v>
      </c>
    </row>
    <row r="27" spans="4:6" s="40" customFormat="1" x14ac:dyDescent="0.3">
      <c r="D27" s="58" t="s">
        <v>167</v>
      </c>
      <c r="E27" s="58">
        <v>0.02</v>
      </c>
      <c r="F27" s="58">
        <v>2.7E-2</v>
      </c>
    </row>
    <row r="28" spans="4:6" s="40" customFormat="1" x14ac:dyDescent="0.3">
      <c r="D28" s="58" t="s">
        <v>166</v>
      </c>
      <c r="E28" s="58">
        <v>3.6999999999999998E-2</v>
      </c>
      <c r="F28" s="58">
        <v>4.7E-2</v>
      </c>
    </row>
    <row r="29" spans="4:6" s="40" customFormat="1" x14ac:dyDescent="0.3">
      <c r="D29" s="58" t="s">
        <v>165</v>
      </c>
      <c r="E29" s="58">
        <v>7.0999999999999994E-2</v>
      </c>
      <c r="F29" s="58">
        <v>8.5999999999999993E-2</v>
      </c>
    </row>
    <row r="30" spans="4:6" s="40" customFormat="1" x14ac:dyDescent="0.3">
      <c r="D30" s="58" t="s">
        <v>164</v>
      </c>
      <c r="E30" s="58">
        <v>0.121</v>
      </c>
      <c r="F30" s="58">
        <v>0.153</v>
      </c>
    </row>
    <row r="31" spans="4:6" s="40" customFormat="1" x14ac:dyDescent="0.3">
      <c r="D31" s="58" t="s">
        <v>163</v>
      </c>
      <c r="E31" s="58">
        <v>0.2</v>
      </c>
      <c r="F31" s="58">
        <v>0.24</v>
      </c>
    </row>
    <row r="32" spans="4:6" s="40" customFormat="1" x14ac:dyDescent="0.3">
      <c r="D32" s="58" t="s">
        <v>162</v>
      </c>
      <c r="E32" s="58">
        <v>0.30399999999999999</v>
      </c>
      <c r="F32" s="58">
        <v>0.34300000000000003</v>
      </c>
    </row>
    <row r="33" spans="3:17" s="40" customFormat="1" x14ac:dyDescent="0.3">
      <c r="D33" s="58" t="s">
        <v>161</v>
      </c>
      <c r="E33" s="58">
        <v>0.39100000000000001</v>
      </c>
      <c r="F33" s="58">
        <v>0.4</v>
      </c>
    </row>
    <row r="34" spans="3:17" s="40" customFormat="1" x14ac:dyDescent="0.3">
      <c r="D34" s="58" t="s">
        <v>160</v>
      </c>
      <c r="E34" s="58">
        <v>1</v>
      </c>
      <c r="F34" s="58">
        <v>1</v>
      </c>
    </row>
    <row r="35" spans="3:17" s="40" customFormat="1" x14ac:dyDescent="0.3"/>
    <row r="36" spans="3:17" s="40" customFormat="1" x14ac:dyDescent="0.3"/>
    <row r="37" spans="3:17" s="40" customFormat="1" x14ac:dyDescent="0.3"/>
    <row r="38" spans="3:17" s="40" customFormat="1" x14ac:dyDescent="0.3"/>
    <row r="39" spans="3:17" s="40" customFormat="1" x14ac:dyDescent="0.3"/>
    <row r="40" spans="3:17" s="40" customFormat="1" ht="15" thickBot="1" x14ac:dyDescent="0.35"/>
    <row r="41" spans="3:17" ht="15" thickBot="1" x14ac:dyDescent="0.35">
      <c r="D41" s="399" t="s">
        <v>10</v>
      </c>
      <c r="E41" s="400"/>
      <c r="F41" s="400"/>
      <c r="G41" s="400"/>
      <c r="H41" s="401"/>
      <c r="L41" s="399" t="s">
        <v>0</v>
      </c>
      <c r="M41" s="400"/>
      <c r="N41" s="400"/>
      <c r="O41" s="400"/>
      <c r="P41" s="400"/>
      <c r="Q41" s="401"/>
    </row>
    <row r="42" spans="3:17" x14ac:dyDescent="0.3">
      <c r="D42" s="39"/>
      <c r="E42" s="39"/>
      <c r="F42" s="39"/>
      <c r="G42" s="39"/>
      <c r="H42" s="39"/>
      <c r="I42" s="39"/>
    </row>
    <row r="43" spans="3:17" ht="15" thickBot="1" x14ac:dyDescent="0.35">
      <c r="J43" s="40"/>
    </row>
    <row r="44" spans="3:17" s="40" customFormat="1" ht="15" thickBot="1" x14ac:dyDescent="0.35">
      <c r="D44" s="409" t="s">
        <v>159</v>
      </c>
      <c r="E44" s="410"/>
      <c r="F44" s="410"/>
      <c r="G44" s="410"/>
      <c r="H44" s="410"/>
      <c r="I44" s="410"/>
      <c r="J44" s="411"/>
    </row>
    <row r="45" spans="3:17" s="40" customFormat="1" ht="28.8" thickTop="1" thickBot="1" x14ac:dyDescent="0.35">
      <c r="D45" s="46" t="s">
        <v>158</v>
      </c>
      <c r="E45" s="52" t="s">
        <v>157</v>
      </c>
      <c r="F45" s="52" t="s">
        <v>156</v>
      </c>
      <c r="G45" s="52" t="s">
        <v>155</v>
      </c>
      <c r="H45" s="52" t="s">
        <v>154</v>
      </c>
      <c r="I45" s="52" t="s">
        <v>153</v>
      </c>
      <c r="J45" s="51" t="s">
        <v>152</v>
      </c>
    </row>
    <row r="46" spans="3:17" s="40" customFormat="1" ht="15.6" thickTop="1" thickBot="1" x14ac:dyDescent="0.35">
      <c r="C46" s="40" t="s">
        <v>130</v>
      </c>
      <c r="D46" s="50">
        <v>9</v>
      </c>
      <c r="E46" s="57">
        <v>2144.9299999999998</v>
      </c>
      <c r="F46" s="56" t="s">
        <v>151</v>
      </c>
      <c r="G46" s="56" t="s">
        <v>150</v>
      </c>
      <c r="H46" s="55">
        <v>120</v>
      </c>
      <c r="I46" s="54">
        <v>2001</v>
      </c>
      <c r="J46" s="53">
        <v>52</v>
      </c>
    </row>
    <row r="47" spans="3:17" s="40" customFormat="1" ht="15" thickBot="1" x14ac:dyDescent="0.35">
      <c r="C47" s="40" t="s">
        <v>131</v>
      </c>
      <c r="D47" s="50">
        <v>10</v>
      </c>
      <c r="E47" s="57">
        <v>1513.92</v>
      </c>
      <c r="F47" s="56" t="s">
        <v>149</v>
      </c>
      <c r="G47" s="56" t="s">
        <v>148</v>
      </c>
      <c r="H47" s="55">
        <v>180</v>
      </c>
      <c r="I47" s="54">
        <v>2002</v>
      </c>
      <c r="J47" s="53">
        <v>45</v>
      </c>
    </row>
    <row r="54" spans="4:10" ht="15" thickBot="1" x14ac:dyDescent="0.35"/>
    <row r="55" spans="4:10" ht="15" thickBot="1" x14ac:dyDescent="0.35">
      <c r="D55" s="409" t="s">
        <v>147</v>
      </c>
      <c r="E55" s="410"/>
      <c r="F55" s="410"/>
      <c r="G55" s="410"/>
      <c r="H55" s="410"/>
      <c r="I55" s="410"/>
      <c r="J55" s="411"/>
    </row>
    <row r="56" spans="4:10" ht="28.8" thickTop="1" thickBot="1" x14ac:dyDescent="0.35">
      <c r="D56" s="46" t="s">
        <v>146</v>
      </c>
      <c r="E56" s="52" t="s">
        <v>145</v>
      </c>
      <c r="F56" s="52" t="s">
        <v>144</v>
      </c>
      <c r="G56" s="52" t="s">
        <v>143</v>
      </c>
      <c r="H56" s="52" t="s">
        <v>142</v>
      </c>
      <c r="I56" s="52" t="s">
        <v>141</v>
      </c>
      <c r="J56" s="51" t="s">
        <v>140</v>
      </c>
    </row>
    <row r="57" spans="4:10" ht="15.6" thickTop="1" thickBot="1" x14ac:dyDescent="0.35">
      <c r="D57" s="50" t="s">
        <v>139</v>
      </c>
      <c r="E57" s="49">
        <v>58.4</v>
      </c>
      <c r="F57" s="49">
        <v>73</v>
      </c>
      <c r="G57" s="49">
        <v>121.67</v>
      </c>
      <c r="H57" s="49">
        <v>165.91</v>
      </c>
      <c r="I57" s="48">
        <v>243.34</v>
      </c>
      <c r="J57" s="47">
        <v>663.64</v>
      </c>
    </row>
    <row r="58" spans="4:10" ht="15" thickBot="1" x14ac:dyDescent="0.35">
      <c r="D58" s="50">
        <v>41</v>
      </c>
      <c r="E58" s="49">
        <v>59.57</v>
      </c>
      <c r="F58" s="49">
        <v>73.73</v>
      </c>
      <c r="G58" s="49">
        <v>124.1</v>
      </c>
      <c r="H58" s="49">
        <v>167.57</v>
      </c>
      <c r="I58" s="48">
        <v>244.56</v>
      </c>
      <c r="J58" s="47">
        <v>670.28</v>
      </c>
    </row>
    <row r="59" spans="4:10" ht="15" thickBot="1" x14ac:dyDescent="0.35">
      <c r="D59" s="50">
        <v>42</v>
      </c>
      <c r="E59" s="49">
        <v>60.76</v>
      </c>
      <c r="F59" s="49">
        <v>74.47</v>
      </c>
      <c r="G59" s="49">
        <v>126.58</v>
      </c>
      <c r="H59" s="49">
        <v>169.25</v>
      </c>
      <c r="I59" s="48">
        <v>245.78</v>
      </c>
      <c r="J59" s="47">
        <v>676.98</v>
      </c>
    </row>
    <row r="60" spans="4:10" ht="15" thickBot="1" x14ac:dyDescent="0.35">
      <c r="D60" s="50">
        <v>43</v>
      </c>
      <c r="E60" s="49">
        <v>61.98</v>
      </c>
      <c r="F60" s="49">
        <v>75.209999999999994</v>
      </c>
      <c r="G60" s="49">
        <v>129.13</v>
      </c>
      <c r="H60" s="49">
        <v>170.93</v>
      </c>
      <c r="I60" s="48">
        <v>247.01</v>
      </c>
      <c r="J60" s="47">
        <v>683.75</v>
      </c>
    </row>
    <row r="61" spans="4:10" ht="15" thickBot="1" x14ac:dyDescent="0.35">
      <c r="D61" s="50">
        <v>44</v>
      </c>
      <c r="E61" s="49">
        <v>63.22</v>
      </c>
      <c r="F61" s="49">
        <v>75.959999999999994</v>
      </c>
      <c r="G61" s="49">
        <v>131.71</v>
      </c>
      <c r="H61" s="49">
        <v>172.64</v>
      </c>
      <c r="I61" s="48">
        <v>248.25</v>
      </c>
      <c r="J61" s="47">
        <v>690.59</v>
      </c>
    </row>
    <row r="62" spans="4:10" ht="15" thickBot="1" x14ac:dyDescent="0.35">
      <c r="D62" s="50">
        <v>45</v>
      </c>
      <c r="E62" s="49">
        <v>64.48</v>
      </c>
      <c r="F62" s="49">
        <v>76.72</v>
      </c>
      <c r="G62" s="49">
        <v>134.33000000000001</v>
      </c>
      <c r="H62" s="49">
        <v>174.36</v>
      </c>
      <c r="I62" s="48">
        <v>249.49</v>
      </c>
      <c r="J62" s="47">
        <v>697.5</v>
      </c>
    </row>
    <row r="63" spans="4:10" ht="15" thickBot="1" x14ac:dyDescent="0.35">
      <c r="D63" s="50">
        <v>46</v>
      </c>
      <c r="E63" s="49">
        <v>65.77</v>
      </c>
      <c r="F63" s="49">
        <v>77.489999999999995</v>
      </c>
      <c r="G63" s="49">
        <v>137.02000000000001</v>
      </c>
      <c r="H63" s="49">
        <v>176.11</v>
      </c>
      <c r="I63" s="48">
        <v>250.74</v>
      </c>
      <c r="J63" s="47">
        <v>704.48</v>
      </c>
    </row>
    <row r="64" spans="4:10" ht="15" thickBot="1" x14ac:dyDescent="0.35">
      <c r="D64" s="50">
        <v>47</v>
      </c>
      <c r="E64" s="49">
        <v>67.09</v>
      </c>
      <c r="F64" s="49">
        <v>78.260000000000005</v>
      </c>
      <c r="G64" s="49">
        <v>139.77000000000001</v>
      </c>
      <c r="H64" s="49">
        <v>177.86</v>
      </c>
      <c r="I64" s="48">
        <v>251.99</v>
      </c>
      <c r="J64" s="47">
        <v>711.52</v>
      </c>
    </row>
    <row r="65" spans="4:10" ht="15" thickBot="1" x14ac:dyDescent="0.35">
      <c r="D65" s="50">
        <v>48</v>
      </c>
      <c r="E65" s="49">
        <v>68.430000000000007</v>
      </c>
      <c r="F65" s="49">
        <v>79.040000000000006</v>
      </c>
      <c r="G65" s="49">
        <v>142.56</v>
      </c>
      <c r="H65" s="49">
        <v>179.64</v>
      </c>
      <c r="I65" s="48">
        <v>253.25</v>
      </c>
      <c r="J65" s="47">
        <v>718.64</v>
      </c>
    </row>
    <row r="66" spans="4:10" ht="15" thickBot="1" x14ac:dyDescent="0.35">
      <c r="D66" s="50">
        <v>49</v>
      </c>
      <c r="E66" s="49">
        <v>69.8</v>
      </c>
      <c r="F66" s="49">
        <v>79.83</v>
      </c>
      <c r="G66" s="49">
        <v>145.41999999999999</v>
      </c>
      <c r="H66" s="49">
        <v>181.43</v>
      </c>
      <c r="I66" s="48">
        <v>254.52</v>
      </c>
      <c r="J66" s="47">
        <v>725.83</v>
      </c>
    </row>
    <row r="67" spans="4:10" ht="15" thickBot="1" x14ac:dyDescent="0.35">
      <c r="D67" s="50">
        <v>50</v>
      </c>
      <c r="E67" s="49">
        <v>71.2</v>
      </c>
      <c r="F67" s="49">
        <v>80.63</v>
      </c>
      <c r="G67" s="49">
        <v>148.33000000000001</v>
      </c>
      <c r="H67" s="49">
        <v>183.25</v>
      </c>
      <c r="I67" s="48">
        <v>255.79</v>
      </c>
      <c r="J67" s="47">
        <v>733.09</v>
      </c>
    </row>
    <row r="68" spans="4:10" ht="15" thickBot="1" x14ac:dyDescent="0.35">
      <c r="D68" s="50">
        <v>51</v>
      </c>
      <c r="E68" s="49">
        <v>72.62</v>
      </c>
      <c r="F68" s="49">
        <v>81.44</v>
      </c>
      <c r="G68" s="49">
        <v>151.29</v>
      </c>
      <c r="H68" s="49">
        <v>185.09</v>
      </c>
      <c r="I68" s="48">
        <v>257.07</v>
      </c>
      <c r="J68" s="47">
        <v>740.42</v>
      </c>
    </row>
    <row r="69" spans="4:10" ht="15" thickBot="1" x14ac:dyDescent="0.35">
      <c r="D69" s="50">
        <v>52</v>
      </c>
      <c r="E69" s="49">
        <v>74.069999999999993</v>
      </c>
      <c r="F69" s="49">
        <v>82.25</v>
      </c>
      <c r="G69" s="49">
        <v>154.31</v>
      </c>
      <c r="H69" s="49">
        <v>186.93</v>
      </c>
      <c r="I69" s="48">
        <v>258.36</v>
      </c>
      <c r="J69" s="47">
        <v>747.82</v>
      </c>
    </row>
    <row r="70" spans="4:10" ht="15" thickBot="1" x14ac:dyDescent="0.35">
      <c r="D70" s="50">
        <v>53</v>
      </c>
      <c r="E70" s="49">
        <v>75.55</v>
      </c>
      <c r="F70" s="49">
        <v>83.07</v>
      </c>
      <c r="G70" s="49">
        <v>157.4</v>
      </c>
      <c r="H70" s="49">
        <v>188.8</v>
      </c>
      <c r="I70" s="48">
        <v>259.64999999999998</v>
      </c>
      <c r="J70" s="47">
        <v>755.3</v>
      </c>
    </row>
    <row r="71" spans="4:10" ht="15" thickBot="1" x14ac:dyDescent="0.35">
      <c r="D71" s="50">
        <v>54</v>
      </c>
      <c r="E71" s="49">
        <v>77.06</v>
      </c>
      <c r="F71" s="49">
        <v>83.9</v>
      </c>
      <c r="G71" s="49">
        <v>160.54</v>
      </c>
      <c r="H71" s="49">
        <v>190.68</v>
      </c>
      <c r="I71" s="48">
        <v>260.95</v>
      </c>
      <c r="J71" s="47">
        <v>762.85</v>
      </c>
    </row>
    <row r="72" spans="4:10" ht="15" thickBot="1" x14ac:dyDescent="0.35">
      <c r="D72" s="50">
        <v>55</v>
      </c>
      <c r="E72" s="49">
        <v>78.599999999999994</v>
      </c>
      <c r="F72" s="49">
        <v>84.74</v>
      </c>
      <c r="G72" s="49">
        <v>163.75</v>
      </c>
      <c r="H72" s="49">
        <v>192.59</v>
      </c>
      <c r="I72" s="48">
        <v>262.25</v>
      </c>
      <c r="J72" s="47">
        <v>770.48</v>
      </c>
    </row>
    <row r="73" spans="4:10" ht="15" thickBot="1" x14ac:dyDescent="0.35">
      <c r="D73" s="50">
        <v>56</v>
      </c>
      <c r="E73" s="49">
        <v>80.17</v>
      </c>
      <c r="F73" s="49">
        <v>85.59</v>
      </c>
      <c r="G73" s="49">
        <v>167.02</v>
      </c>
      <c r="H73" s="49">
        <v>194.52</v>
      </c>
      <c r="I73" s="48">
        <v>267.23</v>
      </c>
      <c r="J73" s="47">
        <v>778.18</v>
      </c>
    </row>
    <row r="74" spans="4:10" ht="15" thickBot="1" x14ac:dyDescent="0.35">
      <c r="D74" s="50">
        <v>57</v>
      </c>
      <c r="E74" s="49">
        <v>81.77</v>
      </c>
      <c r="F74" s="49">
        <v>86.45</v>
      </c>
      <c r="G74" s="49">
        <v>170.35</v>
      </c>
      <c r="H74" s="49">
        <v>196.48</v>
      </c>
      <c r="I74" s="48">
        <v>272.56</v>
      </c>
      <c r="J74" s="47">
        <v>785.96</v>
      </c>
    </row>
    <row r="75" spans="4:10" ht="15" thickBot="1" x14ac:dyDescent="0.35">
      <c r="D75" s="50">
        <v>58</v>
      </c>
      <c r="E75" s="49">
        <v>83.41</v>
      </c>
      <c r="F75" s="49">
        <v>87.31</v>
      </c>
      <c r="G75" s="49">
        <v>173.77</v>
      </c>
      <c r="H75" s="49">
        <v>198.43</v>
      </c>
      <c r="I75" s="48">
        <v>278.02999999999997</v>
      </c>
      <c r="J75" s="47">
        <v>793.82</v>
      </c>
    </row>
    <row r="76" spans="4:10" ht="15" thickBot="1" x14ac:dyDescent="0.35">
      <c r="D76" s="50">
        <v>59</v>
      </c>
      <c r="E76" s="49">
        <v>85.08</v>
      </c>
      <c r="F76" s="49">
        <v>88.18</v>
      </c>
      <c r="G76" s="49">
        <v>177.25</v>
      </c>
      <c r="H76" s="49">
        <v>200.41</v>
      </c>
      <c r="I76" s="48">
        <v>283.60000000000002</v>
      </c>
      <c r="J76" s="47">
        <v>801.76</v>
      </c>
    </row>
    <row r="77" spans="4:10" ht="15" thickBot="1" x14ac:dyDescent="0.35">
      <c r="D77" s="50">
        <v>60</v>
      </c>
      <c r="E77" s="49">
        <v>89.33</v>
      </c>
      <c r="F77" s="49">
        <v>89.94</v>
      </c>
      <c r="G77" s="49">
        <v>178.66</v>
      </c>
      <c r="H77" s="49">
        <v>195.52</v>
      </c>
      <c r="I77" s="48">
        <v>285.86</v>
      </c>
      <c r="J77" s="47">
        <v>809.78</v>
      </c>
    </row>
    <row r="78" spans="4:10" ht="15" thickBot="1" x14ac:dyDescent="0.35">
      <c r="D78" s="50">
        <v>61</v>
      </c>
      <c r="E78" s="49">
        <v>93.8</v>
      </c>
      <c r="F78" s="49">
        <v>92.64</v>
      </c>
      <c r="G78" s="49">
        <v>187.6</v>
      </c>
      <c r="H78" s="49">
        <v>201.39</v>
      </c>
      <c r="I78" s="48">
        <v>300.16000000000003</v>
      </c>
      <c r="J78" s="47">
        <v>817.88</v>
      </c>
    </row>
    <row r="79" spans="4:10" ht="15" thickBot="1" x14ac:dyDescent="0.35">
      <c r="D79" s="50">
        <v>62</v>
      </c>
      <c r="E79" s="49">
        <v>98.49</v>
      </c>
      <c r="F79" s="49">
        <v>96.35</v>
      </c>
      <c r="G79" s="49">
        <v>196.98</v>
      </c>
      <c r="H79" s="49">
        <v>209.46</v>
      </c>
      <c r="I79" s="48">
        <v>315.17</v>
      </c>
      <c r="J79" s="47">
        <v>830.15</v>
      </c>
    </row>
    <row r="80" spans="4:10" ht="15" thickBot="1" x14ac:dyDescent="0.35">
      <c r="D80" s="50">
        <v>63</v>
      </c>
      <c r="E80" s="49">
        <v>103.41</v>
      </c>
      <c r="F80" s="49">
        <v>100.2</v>
      </c>
      <c r="G80" s="49">
        <v>206.82</v>
      </c>
      <c r="H80" s="49">
        <v>217.83</v>
      </c>
      <c r="I80" s="48">
        <v>330.91</v>
      </c>
      <c r="J80" s="47">
        <v>842.6</v>
      </c>
    </row>
    <row r="81" spans="4:10" ht="15" thickBot="1" x14ac:dyDescent="0.35">
      <c r="D81" s="50">
        <v>64</v>
      </c>
      <c r="E81" s="49">
        <v>108.58</v>
      </c>
      <c r="F81" s="49">
        <v>104.21</v>
      </c>
      <c r="G81" s="49">
        <v>217.16</v>
      </c>
      <c r="H81" s="49">
        <v>226.54</v>
      </c>
      <c r="I81" s="48">
        <v>347.46</v>
      </c>
      <c r="J81" s="47">
        <v>855.24</v>
      </c>
    </row>
    <row r="82" spans="4:10" ht="15" thickBot="1" x14ac:dyDescent="0.35">
      <c r="D82" s="50">
        <v>65</v>
      </c>
      <c r="E82" s="49">
        <v>119.44</v>
      </c>
      <c r="F82" s="49">
        <v>109.42</v>
      </c>
      <c r="G82" s="49">
        <v>229.69</v>
      </c>
      <c r="H82" s="49">
        <v>237.87</v>
      </c>
      <c r="I82" s="48">
        <v>356.02</v>
      </c>
      <c r="J82" s="47">
        <v>868.07</v>
      </c>
    </row>
    <row r="83" spans="4:10" ht="15" thickBot="1" x14ac:dyDescent="0.35">
      <c r="D83" s="50">
        <v>66</v>
      </c>
      <c r="E83" s="49">
        <v>137.36000000000001</v>
      </c>
      <c r="F83" s="49">
        <v>114.89</v>
      </c>
      <c r="G83" s="49">
        <v>264.14999999999998</v>
      </c>
      <c r="H83" s="49">
        <v>249.76</v>
      </c>
      <c r="I83" s="48">
        <v>409.43</v>
      </c>
      <c r="J83" s="47">
        <v>885.43</v>
      </c>
    </row>
    <row r="84" spans="4:10" ht="15" thickBot="1" x14ac:dyDescent="0.35">
      <c r="D84" s="50">
        <v>67</v>
      </c>
      <c r="E84" s="49">
        <v>164.83</v>
      </c>
      <c r="F84" s="49">
        <v>132.12</v>
      </c>
      <c r="G84" s="49">
        <v>305.24</v>
      </c>
      <c r="H84" s="49">
        <v>287.22000000000003</v>
      </c>
      <c r="I84" s="48">
        <v>473.12</v>
      </c>
      <c r="J84" s="47">
        <v>903.14</v>
      </c>
    </row>
    <row r="85" spans="4:10" ht="15" thickBot="1" x14ac:dyDescent="0.35">
      <c r="D85" s="50">
        <v>68</v>
      </c>
      <c r="E85" s="49">
        <v>206.04</v>
      </c>
      <c r="F85" s="49">
        <v>151.94</v>
      </c>
      <c r="G85" s="49">
        <v>381.56</v>
      </c>
      <c r="H85" s="49">
        <v>330.3</v>
      </c>
      <c r="I85" s="48">
        <v>591.41999999999996</v>
      </c>
      <c r="J85" s="47">
        <v>921.2</v>
      </c>
    </row>
    <row r="86" spans="4:10" ht="15" thickBot="1" x14ac:dyDescent="0.35">
      <c r="D86" s="50">
        <v>69</v>
      </c>
      <c r="E86" s="49">
        <v>267.85000000000002</v>
      </c>
      <c r="F86" s="49">
        <v>174.73</v>
      </c>
      <c r="G86" s="49">
        <v>496.02</v>
      </c>
      <c r="H86" s="49">
        <v>379.85</v>
      </c>
      <c r="I86" s="48">
        <v>768.83</v>
      </c>
      <c r="J86" s="47">
        <v>944.23</v>
      </c>
    </row>
    <row r="87" spans="4:10" ht="15" thickBot="1" x14ac:dyDescent="0.35">
      <c r="D87" s="50">
        <v>70</v>
      </c>
      <c r="E87" s="49">
        <v>361.6</v>
      </c>
      <c r="F87" s="49">
        <v>200.94</v>
      </c>
      <c r="G87" s="49">
        <v>645.71</v>
      </c>
      <c r="H87" s="49">
        <v>436.83</v>
      </c>
      <c r="I87" s="48">
        <v>968.57</v>
      </c>
      <c r="J87" s="47">
        <v>967.84</v>
      </c>
    </row>
    <row r="88" spans="4:10" ht="15" thickBot="1" x14ac:dyDescent="0.35">
      <c r="D88" s="50">
        <v>71</v>
      </c>
      <c r="E88" s="49">
        <v>488.16</v>
      </c>
      <c r="F88" s="49">
        <v>231.08</v>
      </c>
      <c r="G88" s="49">
        <v>871.71</v>
      </c>
      <c r="H88" s="49">
        <v>481.42</v>
      </c>
      <c r="I88" s="48">
        <v>1307.57</v>
      </c>
      <c r="J88" s="47">
        <v>992.04</v>
      </c>
    </row>
    <row r="89" spans="4:10" ht="15" thickBot="1" x14ac:dyDescent="0.35">
      <c r="D89" s="50">
        <v>72</v>
      </c>
      <c r="E89" s="49">
        <v>659.02</v>
      </c>
      <c r="F89" s="49">
        <v>265.74</v>
      </c>
      <c r="G89" s="49">
        <v>1176.82</v>
      </c>
      <c r="H89" s="49">
        <v>553.63</v>
      </c>
      <c r="I89" s="48">
        <v>1765.23</v>
      </c>
      <c r="J89" s="47">
        <v>1016.84</v>
      </c>
    </row>
    <row r="90" spans="4:10" ht="15" thickBot="1" x14ac:dyDescent="0.35">
      <c r="D90" s="50">
        <v>73</v>
      </c>
      <c r="E90" s="49">
        <v>889.68</v>
      </c>
      <c r="F90" s="49">
        <v>318.89</v>
      </c>
      <c r="G90" s="49">
        <v>1533.93</v>
      </c>
      <c r="H90" s="49">
        <v>664.35</v>
      </c>
      <c r="I90" s="48">
        <v>2300.9</v>
      </c>
      <c r="J90" s="47">
        <v>1042.26</v>
      </c>
    </row>
    <row r="91" spans="4:10" ht="15" thickBot="1" x14ac:dyDescent="0.35">
      <c r="D91" s="50">
        <v>74</v>
      </c>
      <c r="E91" s="49">
        <v>1156.58</v>
      </c>
      <c r="F91" s="49">
        <v>398.61</v>
      </c>
      <c r="G91" s="49">
        <v>1994.1</v>
      </c>
      <c r="H91" s="49">
        <v>830.44</v>
      </c>
      <c r="I91" s="48">
        <v>2991.15</v>
      </c>
      <c r="J91" s="47">
        <v>1328.7</v>
      </c>
    </row>
    <row r="92" spans="4:10" ht="15" thickBot="1" x14ac:dyDescent="0.35">
      <c r="D92" s="50">
        <v>75</v>
      </c>
      <c r="E92" s="49">
        <v>1503.55</v>
      </c>
      <c r="F92" s="49">
        <v>518.19000000000005</v>
      </c>
      <c r="G92" s="49">
        <v>2505.92</v>
      </c>
      <c r="H92" s="49">
        <v>1079.56</v>
      </c>
      <c r="I92" s="48">
        <v>3633.58</v>
      </c>
      <c r="J92" s="47">
        <v>1727.3</v>
      </c>
    </row>
    <row r="93" spans="4:10" ht="15" thickBot="1" x14ac:dyDescent="0.35">
      <c r="D93" s="50">
        <v>76</v>
      </c>
      <c r="E93" s="49">
        <v>1879.44</v>
      </c>
      <c r="F93" s="49">
        <v>699.56</v>
      </c>
      <c r="G93" s="49">
        <v>3132.4</v>
      </c>
      <c r="H93" s="49">
        <v>1399.12</v>
      </c>
      <c r="I93" s="48">
        <v>4541.9799999999996</v>
      </c>
      <c r="J93" s="47">
        <v>2238.59</v>
      </c>
    </row>
    <row r="94" spans="4:10" ht="15" thickBot="1" x14ac:dyDescent="0.35">
      <c r="D94" s="50">
        <v>77</v>
      </c>
      <c r="E94" s="49">
        <v>2255.33</v>
      </c>
      <c r="F94" s="49">
        <v>944.41</v>
      </c>
      <c r="G94" s="49">
        <v>3758.88</v>
      </c>
      <c r="H94" s="49">
        <v>1888.82</v>
      </c>
      <c r="I94" s="48">
        <v>5199.28</v>
      </c>
      <c r="J94" s="47">
        <v>3022.11</v>
      </c>
    </row>
    <row r="95" spans="4:10" ht="15" thickBot="1" x14ac:dyDescent="0.35">
      <c r="D95" s="50">
        <v>78</v>
      </c>
      <c r="E95" s="49">
        <v>2593.63</v>
      </c>
      <c r="F95" s="49">
        <v>1274.95</v>
      </c>
      <c r="G95" s="49">
        <v>4183.2700000000004</v>
      </c>
      <c r="H95" s="49">
        <v>2549.9</v>
      </c>
      <c r="I95" s="48">
        <v>5856.58</v>
      </c>
      <c r="J95" s="47">
        <v>3952.35</v>
      </c>
    </row>
    <row r="96" spans="4:10" ht="15" thickBot="1" x14ac:dyDescent="0.35">
      <c r="D96" s="50">
        <v>79</v>
      </c>
      <c r="E96" s="49">
        <v>2852.99</v>
      </c>
      <c r="F96" s="49">
        <v>1657.44</v>
      </c>
      <c r="G96" s="49">
        <v>4457.8</v>
      </c>
      <c r="H96" s="49">
        <v>3314.88</v>
      </c>
      <c r="I96" s="48">
        <v>6240.92</v>
      </c>
      <c r="J96" s="47">
        <v>5138.0600000000004</v>
      </c>
    </row>
    <row r="97" spans="4:10" ht="15" thickBot="1" x14ac:dyDescent="0.35">
      <c r="D97" s="46">
        <v>80</v>
      </c>
      <c r="E97" s="45">
        <v>2995.64</v>
      </c>
      <c r="F97" s="45">
        <v>2154.67</v>
      </c>
      <c r="G97" s="45">
        <v>4538.8500000000004</v>
      </c>
      <c r="H97" s="45">
        <v>4309.34</v>
      </c>
      <c r="I97" s="44">
        <v>6242.76</v>
      </c>
      <c r="J97" s="43">
        <v>6679.48</v>
      </c>
    </row>
    <row r="98" spans="4:10" ht="15" thickTop="1" x14ac:dyDescent="0.3"/>
  </sheetData>
  <mergeCells count="6">
    <mergeCell ref="D55:J55"/>
    <mergeCell ref="D8:E8"/>
    <mergeCell ref="E21:F21"/>
    <mergeCell ref="D41:H41"/>
    <mergeCell ref="L41:Q41"/>
    <mergeCell ref="D44:J4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39BF-7474-48BE-8095-F084142947D4}">
  <sheetPr>
    <tabColor theme="9" tint="0.59999389629810485"/>
  </sheetPr>
  <dimension ref="A1:U98"/>
  <sheetViews>
    <sheetView workbookViewId="0">
      <selection activeCell="O51" sqref="O51"/>
    </sheetView>
  </sheetViews>
  <sheetFormatPr defaultRowHeight="14.4" x14ac:dyDescent="0.3"/>
  <cols>
    <col min="4" max="10" width="13.21875" customWidth="1"/>
    <col min="11" max="11" width="14.33203125" customWidth="1"/>
    <col min="12" max="19" width="11.6640625" customWidth="1"/>
  </cols>
  <sheetData>
    <row r="1" spans="1:8" ht="15" thickBot="1" x14ac:dyDescent="0.35">
      <c r="A1" t="s">
        <v>183</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1"/>
    </row>
    <row r="9" spans="1:8" s="40" customFormat="1" x14ac:dyDescent="0.3"/>
    <row r="10" spans="1:8" x14ac:dyDescent="0.3">
      <c r="E10" t="s">
        <v>182</v>
      </c>
    </row>
    <row r="11" spans="1:8" x14ac:dyDescent="0.3">
      <c r="E11" t="s">
        <v>181</v>
      </c>
    </row>
    <row r="12" spans="1:8" x14ac:dyDescent="0.3">
      <c r="E12" t="s">
        <v>180</v>
      </c>
    </row>
    <row r="13" spans="1:8" x14ac:dyDescent="0.3">
      <c r="E13" t="s">
        <v>179</v>
      </c>
    </row>
    <row r="14" spans="1:8" s="40" customFormat="1" x14ac:dyDescent="0.3">
      <c r="E14" s="40" t="s">
        <v>178</v>
      </c>
    </row>
    <row r="15" spans="1:8" s="40" customFormat="1" x14ac:dyDescent="0.3">
      <c r="D15" s="40">
        <v>3.5000000000000003E-2</v>
      </c>
      <c r="E15" s="40" t="s">
        <v>177</v>
      </c>
    </row>
    <row r="16" spans="1:8" s="40" customFormat="1" x14ac:dyDescent="0.3">
      <c r="D16" s="40">
        <v>0.01</v>
      </c>
      <c r="E16" s="40" t="s">
        <v>176</v>
      </c>
    </row>
    <row r="17" spans="4:6" s="40" customFormat="1" x14ac:dyDescent="0.3">
      <c r="E17" s="40" t="s">
        <v>175</v>
      </c>
    </row>
    <row r="18" spans="4:6" s="40" customFormat="1" x14ac:dyDescent="0.3">
      <c r="E18" s="40" t="s">
        <v>174</v>
      </c>
    </row>
    <row r="19" spans="4:6" s="40" customFormat="1" x14ac:dyDescent="0.3"/>
    <row r="20" spans="4:6" s="40" customFormat="1" x14ac:dyDescent="0.3"/>
    <row r="21" spans="4:6" s="40" customFormat="1" x14ac:dyDescent="0.3">
      <c r="D21" s="58" t="s">
        <v>173</v>
      </c>
      <c r="E21" s="412" t="s">
        <v>172</v>
      </c>
      <c r="F21" s="412"/>
    </row>
    <row r="22" spans="4:6" s="40" customFormat="1" ht="15" thickBot="1" x14ac:dyDescent="0.35">
      <c r="D22" s="60" t="s">
        <v>7</v>
      </c>
      <c r="E22" s="60" t="s">
        <v>130</v>
      </c>
      <c r="F22" s="60" t="s">
        <v>131</v>
      </c>
    </row>
    <row r="23" spans="4:6" s="40" customFormat="1" ht="15" thickTop="1" x14ac:dyDescent="0.3">
      <c r="D23" s="59" t="s">
        <v>171</v>
      </c>
      <c r="E23" s="59">
        <v>2E-3</v>
      </c>
      <c r="F23" s="59">
        <v>4.0000000000000001E-3</v>
      </c>
    </row>
    <row r="24" spans="4:6" s="40" customFormat="1" x14ac:dyDescent="0.3">
      <c r="D24" s="58" t="s">
        <v>170</v>
      </c>
      <c r="E24" s="58">
        <v>5.0000000000000001E-3</v>
      </c>
      <c r="F24" s="58">
        <v>7.0000000000000001E-3</v>
      </c>
    </row>
    <row r="25" spans="4:6" s="40" customFormat="1" x14ac:dyDescent="0.3">
      <c r="D25" s="58" t="s">
        <v>169</v>
      </c>
      <c r="E25" s="58">
        <v>8.0000000000000002E-3</v>
      </c>
      <c r="F25" s="58">
        <v>0.01</v>
      </c>
    </row>
    <row r="26" spans="4:6" s="40" customFormat="1" x14ac:dyDescent="0.3">
      <c r="D26" s="58" t="s">
        <v>168</v>
      </c>
      <c r="E26" s="58">
        <v>1.2E-2</v>
      </c>
      <c r="F26" s="58">
        <v>1.4999999999999999E-2</v>
      </c>
    </row>
    <row r="27" spans="4:6" s="40" customFormat="1" x14ac:dyDescent="0.3">
      <c r="D27" s="58" t="s">
        <v>167</v>
      </c>
      <c r="E27" s="58">
        <v>0.02</v>
      </c>
      <c r="F27" s="58">
        <v>2.7E-2</v>
      </c>
    </row>
    <row r="28" spans="4:6" s="40" customFormat="1" x14ac:dyDescent="0.3">
      <c r="D28" s="58" t="s">
        <v>166</v>
      </c>
      <c r="E28" s="58">
        <v>3.6999999999999998E-2</v>
      </c>
      <c r="F28" s="58">
        <v>4.7E-2</v>
      </c>
    </row>
    <row r="29" spans="4:6" s="40" customFormat="1" x14ac:dyDescent="0.3">
      <c r="D29" s="58" t="s">
        <v>165</v>
      </c>
      <c r="E29" s="58">
        <v>7.0999999999999994E-2</v>
      </c>
      <c r="F29" s="58">
        <v>8.5999999999999993E-2</v>
      </c>
    </row>
    <row r="30" spans="4:6" s="40" customFormat="1" x14ac:dyDescent="0.3">
      <c r="D30" s="58" t="s">
        <v>164</v>
      </c>
      <c r="E30" s="58">
        <v>0.121</v>
      </c>
      <c r="F30" s="58">
        <v>0.153</v>
      </c>
    </row>
    <row r="31" spans="4:6" s="40" customFormat="1" x14ac:dyDescent="0.3">
      <c r="D31" s="58" t="s">
        <v>163</v>
      </c>
      <c r="E31" s="58">
        <v>0.2</v>
      </c>
      <c r="F31" s="58">
        <v>0.24</v>
      </c>
    </row>
    <row r="32" spans="4:6" s="40" customFormat="1" x14ac:dyDescent="0.3">
      <c r="D32" s="58" t="s">
        <v>162</v>
      </c>
      <c r="E32" s="58">
        <v>0.30399999999999999</v>
      </c>
      <c r="F32" s="58">
        <v>0.34300000000000003</v>
      </c>
    </row>
    <row r="33" spans="3:17" s="40" customFormat="1" x14ac:dyDescent="0.3">
      <c r="D33" s="58" t="s">
        <v>161</v>
      </c>
      <c r="E33" s="58">
        <v>0.39100000000000001</v>
      </c>
      <c r="F33" s="58">
        <v>0.4</v>
      </c>
    </row>
    <row r="34" spans="3:17" s="40" customFormat="1" x14ac:dyDescent="0.3">
      <c r="D34" s="58" t="s">
        <v>160</v>
      </c>
      <c r="E34" s="58">
        <v>1</v>
      </c>
      <c r="F34" s="58">
        <v>1</v>
      </c>
    </row>
    <row r="35" spans="3:17" s="40" customFormat="1" x14ac:dyDescent="0.3"/>
    <row r="36" spans="3:17" s="40" customFormat="1" x14ac:dyDescent="0.3"/>
    <row r="37" spans="3:17" s="40" customFormat="1" x14ac:dyDescent="0.3"/>
    <row r="38" spans="3:17" s="40" customFormat="1" x14ac:dyDescent="0.3"/>
    <row r="39" spans="3:17" s="40" customFormat="1" x14ac:dyDescent="0.3"/>
    <row r="40" spans="3:17" s="40" customFormat="1" ht="15" thickBot="1" x14ac:dyDescent="0.35"/>
    <row r="41" spans="3:17" ht="15" thickBot="1" x14ac:dyDescent="0.35">
      <c r="D41" s="399" t="s">
        <v>10</v>
      </c>
      <c r="E41" s="400"/>
      <c r="F41" s="400"/>
      <c r="G41" s="400"/>
      <c r="H41" s="401"/>
      <c r="L41" s="399" t="s">
        <v>0</v>
      </c>
      <c r="M41" s="400"/>
      <c r="N41" s="400"/>
      <c r="O41" s="400"/>
      <c r="P41" s="400"/>
      <c r="Q41" s="401"/>
    </row>
    <row r="42" spans="3:17" x14ac:dyDescent="0.3">
      <c r="D42" s="39"/>
      <c r="E42" s="39"/>
      <c r="F42" s="39"/>
      <c r="G42" s="39"/>
      <c r="H42" s="39"/>
      <c r="I42" s="39"/>
    </row>
    <row r="43" spans="3:17" ht="15" thickBot="1" x14ac:dyDescent="0.35">
      <c r="J43" s="40"/>
    </row>
    <row r="44" spans="3:17" s="40" customFormat="1" ht="15" thickBot="1" x14ac:dyDescent="0.35">
      <c r="D44" s="409" t="s">
        <v>159</v>
      </c>
      <c r="E44" s="410"/>
      <c r="F44" s="410"/>
      <c r="G44" s="410"/>
      <c r="H44" s="410"/>
      <c r="I44" s="410"/>
      <c r="J44" s="411"/>
    </row>
    <row r="45" spans="3:17" s="40" customFormat="1" ht="30" thickTop="1" thickBot="1" x14ac:dyDescent="0.35">
      <c r="D45" s="46" t="s">
        <v>158</v>
      </c>
      <c r="E45" s="52" t="s">
        <v>157</v>
      </c>
      <c r="F45" s="52" t="s">
        <v>156</v>
      </c>
      <c r="G45" s="52" t="s">
        <v>155</v>
      </c>
      <c r="H45" s="52" t="s">
        <v>154</v>
      </c>
      <c r="I45" s="52" t="s">
        <v>153</v>
      </c>
      <c r="J45" s="51" t="s">
        <v>152</v>
      </c>
      <c r="L45" s="29" t="s">
        <v>558</v>
      </c>
      <c r="M45" s="29" t="s">
        <v>146</v>
      </c>
      <c r="N45" s="29" t="s">
        <v>557</v>
      </c>
      <c r="O45" s="29" t="s">
        <v>556</v>
      </c>
      <c r="P45" s="29" t="s">
        <v>132</v>
      </c>
    </row>
    <row r="46" spans="3:17" s="40" customFormat="1" ht="15.6" thickTop="1" thickBot="1" x14ac:dyDescent="0.35">
      <c r="C46" s="40" t="s">
        <v>130</v>
      </c>
      <c r="D46" s="50">
        <v>9</v>
      </c>
      <c r="E46" s="57">
        <v>2144.9299999999998</v>
      </c>
      <c r="F46" s="56" t="s">
        <v>151</v>
      </c>
      <c r="G46" s="56" t="s">
        <v>150</v>
      </c>
      <c r="H46" s="55">
        <v>120</v>
      </c>
      <c r="I46" s="54">
        <v>2001</v>
      </c>
      <c r="J46" s="53">
        <v>52</v>
      </c>
      <c r="L46" s="93">
        <f>D46</f>
        <v>9</v>
      </c>
      <c r="M46" s="93">
        <f>2021-I46+J46</f>
        <v>72</v>
      </c>
      <c r="N46" s="93">
        <f>H46/100</f>
        <v>1.2</v>
      </c>
      <c r="O46" s="93">
        <v>2</v>
      </c>
      <c r="P46" s="93" t="s">
        <v>216</v>
      </c>
    </row>
    <row r="47" spans="3:17" s="40" customFormat="1" ht="15" thickBot="1" x14ac:dyDescent="0.35">
      <c r="C47" s="40" t="s">
        <v>131</v>
      </c>
      <c r="D47" s="50">
        <v>10</v>
      </c>
      <c r="E47" s="57">
        <v>1513.92</v>
      </c>
      <c r="F47" s="56" t="s">
        <v>149</v>
      </c>
      <c r="G47" s="56" t="s">
        <v>148</v>
      </c>
      <c r="H47" s="55">
        <v>180</v>
      </c>
      <c r="I47" s="54">
        <v>2002</v>
      </c>
      <c r="J47" s="53">
        <v>45</v>
      </c>
      <c r="L47" s="93">
        <f>D47</f>
        <v>10</v>
      </c>
      <c r="M47" s="93">
        <f>2021-I47+J47</f>
        <v>64</v>
      </c>
      <c r="N47" s="93">
        <f>H47/100</f>
        <v>1.8</v>
      </c>
      <c r="O47" s="93">
        <v>3</v>
      </c>
      <c r="P47" s="93" t="s">
        <v>211</v>
      </c>
    </row>
    <row r="49" spans="4:21" x14ac:dyDescent="0.3">
      <c r="L49" s="144" t="s">
        <v>555</v>
      </c>
    </row>
    <row r="50" spans="4:21" x14ac:dyDescent="0.3">
      <c r="L50" s="8" t="s">
        <v>554</v>
      </c>
      <c r="M50" s="8"/>
      <c r="N50" s="8"/>
      <c r="O50" s="8"/>
    </row>
    <row r="51" spans="4:21" x14ac:dyDescent="0.3">
      <c r="L51" s="8" t="s">
        <v>553</v>
      </c>
      <c r="M51" s="8"/>
      <c r="N51" s="8"/>
      <c r="O51" s="8"/>
      <c r="P51" s="8"/>
      <c r="Q51" s="8"/>
    </row>
    <row r="54" spans="4:21" ht="15" thickBot="1" x14ac:dyDescent="0.35"/>
    <row r="55" spans="4:21" ht="15" thickBot="1" x14ac:dyDescent="0.35">
      <c r="D55" s="409" t="s">
        <v>147</v>
      </c>
      <c r="E55" s="410"/>
      <c r="F55" s="410"/>
      <c r="G55" s="410"/>
      <c r="H55" s="410"/>
      <c r="I55" s="410"/>
      <c r="J55" s="411"/>
      <c r="L55" s="123" t="s">
        <v>552</v>
      </c>
    </row>
    <row r="56" spans="4:21" ht="28.8" thickTop="1" thickBot="1" x14ac:dyDescent="0.35">
      <c r="D56" s="46" t="s">
        <v>146</v>
      </c>
      <c r="E56" s="52" t="s">
        <v>145</v>
      </c>
      <c r="F56" s="52" t="s">
        <v>144</v>
      </c>
      <c r="G56" s="52" t="s">
        <v>143</v>
      </c>
      <c r="H56" s="52" t="s">
        <v>142</v>
      </c>
      <c r="I56" s="52" t="s">
        <v>141</v>
      </c>
      <c r="J56" s="51" t="s">
        <v>140</v>
      </c>
      <c r="L56" s="159" t="s">
        <v>279</v>
      </c>
      <c r="M56" s="159" t="s">
        <v>7</v>
      </c>
      <c r="N56" s="159" t="s">
        <v>27</v>
      </c>
      <c r="O56" s="159" t="s">
        <v>550</v>
      </c>
      <c r="P56" s="159" t="s">
        <v>549</v>
      </c>
      <c r="Q56" s="159" t="s">
        <v>548</v>
      </c>
      <c r="R56" s="159" t="s">
        <v>547</v>
      </c>
      <c r="S56" s="159" t="s">
        <v>39</v>
      </c>
      <c r="T56" s="2"/>
      <c r="U56" s="159" t="s">
        <v>546</v>
      </c>
    </row>
    <row r="57" spans="4:21" ht="15.6" thickTop="1" thickBot="1" x14ac:dyDescent="0.35">
      <c r="D57" s="50" t="s">
        <v>139</v>
      </c>
      <c r="E57" s="49">
        <v>58.4</v>
      </c>
      <c r="F57" s="49">
        <v>73</v>
      </c>
      <c r="G57" s="49">
        <v>121.67</v>
      </c>
      <c r="H57" s="49">
        <v>165.91</v>
      </c>
      <c r="I57" s="48">
        <v>243.34</v>
      </c>
      <c r="J57" s="47">
        <v>663.64</v>
      </c>
      <c r="L57">
        <v>0</v>
      </c>
      <c r="M57">
        <f>M46</f>
        <v>72</v>
      </c>
      <c r="N57" s="122">
        <f>1-D16</f>
        <v>0.99</v>
      </c>
      <c r="O57" s="122">
        <f>1-E26</f>
        <v>0.98799999999999999</v>
      </c>
      <c r="P57" s="122">
        <f>N57*O57</f>
        <v>0.97811999999999999</v>
      </c>
      <c r="Q57" s="122">
        <f>1/(1+$D$15)^(L57+0.5)</f>
        <v>0.98294637436598087</v>
      </c>
      <c r="R57" s="158">
        <f>$E$46</f>
        <v>2144.9299999999998</v>
      </c>
      <c r="S57" s="158">
        <f>H89*$N$46</f>
        <v>664.35599999999999</v>
      </c>
    </row>
    <row r="58" spans="4:21" ht="15" thickBot="1" x14ac:dyDescent="0.35">
      <c r="D58" s="50">
        <v>41</v>
      </c>
      <c r="E58" s="49">
        <v>59.57</v>
      </c>
      <c r="F58" s="49">
        <v>73.73</v>
      </c>
      <c r="G58" s="49">
        <v>124.1</v>
      </c>
      <c r="H58" s="49">
        <v>167.57</v>
      </c>
      <c r="I58" s="48">
        <v>244.56</v>
      </c>
      <c r="J58" s="47">
        <v>670.28</v>
      </c>
      <c r="L58">
        <v>1</v>
      </c>
      <c r="M58">
        <f>$M$57+L58</f>
        <v>73</v>
      </c>
      <c r="N58" s="122">
        <f>N57*(1-$D$16)</f>
        <v>0.98009999999999997</v>
      </c>
      <c r="O58" s="122">
        <f>O57*(1-$E$26)</f>
        <v>0.97614400000000001</v>
      </c>
      <c r="P58" s="122">
        <f>N58*O58</f>
        <v>0.95671873439999999</v>
      </c>
      <c r="Q58" s="122">
        <f>1/(1+$D$15)^(L58+0.5)</f>
        <v>0.94970664189949849</v>
      </c>
      <c r="R58" s="158">
        <f>$E$46</f>
        <v>2144.9299999999998</v>
      </c>
      <c r="S58" s="158">
        <f>H90*$N$46</f>
        <v>797.22</v>
      </c>
    </row>
    <row r="59" spans="4:21" ht="15" thickBot="1" x14ac:dyDescent="0.35">
      <c r="D59" s="50">
        <v>42</v>
      </c>
      <c r="E59" s="49">
        <v>60.76</v>
      </c>
      <c r="F59" s="49">
        <v>74.47</v>
      </c>
      <c r="G59" s="49">
        <v>126.58</v>
      </c>
      <c r="H59" s="49">
        <v>169.25</v>
      </c>
      <c r="I59" s="48">
        <v>245.78</v>
      </c>
      <c r="J59" s="47">
        <v>676.98</v>
      </c>
      <c r="L59">
        <v>2</v>
      </c>
      <c r="M59">
        <f>$M$57+L59</f>
        <v>74</v>
      </c>
      <c r="N59" s="122">
        <f>N58*(1-$D$16)</f>
        <v>0.97029899999999991</v>
      </c>
      <c r="O59" s="122">
        <f>O58*(1-$E$26)</f>
        <v>0.96443027199999998</v>
      </c>
      <c r="P59" s="122">
        <f>N59*O59</f>
        <v>0.93578572849132791</v>
      </c>
      <c r="Q59" s="122">
        <f>1/(1+$D$15)^(L59+0.5)</f>
        <v>0.91759095835700355</v>
      </c>
      <c r="R59" s="158">
        <f>$E$46</f>
        <v>2144.9299999999998</v>
      </c>
      <c r="S59" s="158">
        <f>H91*$N$46</f>
        <v>996.52800000000002</v>
      </c>
    </row>
    <row r="60" spans="4:21" ht="15" thickBot="1" x14ac:dyDescent="0.35">
      <c r="D60" s="50">
        <v>43</v>
      </c>
      <c r="E60" s="49">
        <v>61.98</v>
      </c>
      <c r="F60" s="49">
        <v>75.209999999999994</v>
      </c>
      <c r="G60" s="49">
        <v>129.13</v>
      </c>
      <c r="H60" s="49">
        <v>170.93</v>
      </c>
      <c r="I60" s="48">
        <v>247.01</v>
      </c>
      <c r="J60" s="47">
        <v>683.75</v>
      </c>
      <c r="L60">
        <v>3</v>
      </c>
      <c r="M60">
        <f>$M$57+L60</f>
        <v>75</v>
      </c>
      <c r="N60" s="122">
        <f>N59*(1-$D$16)</f>
        <v>0.96059600999999994</v>
      </c>
      <c r="O60" s="122">
        <f>O59*(1-$E$27)</f>
        <v>0.94514166655999998</v>
      </c>
      <c r="P60" s="122">
        <f>N60*O60</f>
        <v>0.90789931378228639</v>
      </c>
      <c r="Q60" s="122">
        <f>1/(1+$D$15)^(L60+0.5)</f>
        <v>0.88656131242222569</v>
      </c>
      <c r="R60" s="158">
        <f>$E$46</f>
        <v>2144.9299999999998</v>
      </c>
      <c r="S60" s="158">
        <f>H92*$N$46</f>
        <v>1295.472</v>
      </c>
    </row>
    <row r="61" spans="4:21" ht="15" thickBot="1" x14ac:dyDescent="0.35">
      <c r="D61" s="50">
        <v>44</v>
      </c>
      <c r="E61" s="49">
        <v>63.22</v>
      </c>
      <c r="F61" s="49">
        <v>75.959999999999994</v>
      </c>
      <c r="G61" s="49">
        <v>131.71</v>
      </c>
      <c r="H61" s="49">
        <v>172.64</v>
      </c>
      <c r="I61" s="48">
        <v>248.25</v>
      </c>
      <c r="J61" s="47">
        <v>690.59</v>
      </c>
      <c r="L61" s="2">
        <v>4</v>
      </c>
      <c r="M61" s="2">
        <f>$M$57+L61</f>
        <v>76</v>
      </c>
      <c r="N61" s="157">
        <f>N60*(1-$D$16)</f>
        <v>0.95099004989999991</v>
      </c>
      <c r="O61" s="157">
        <f>O60*(1-$E$27)</f>
        <v>0.92623883322879996</v>
      </c>
      <c r="P61" s="157">
        <f>N61*O61</f>
        <v>0.88084391423157415</v>
      </c>
      <c r="Q61" s="157">
        <f>1/(1+$D$15)^(L61+0.5)</f>
        <v>0.85658097818572543</v>
      </c>
      <c r="R61" s="156">
        <f>$E$46</f>
        <v>2144.9299999999998</v>
      </c>
      <c r="S61" s="156">
        <f>H93*$N$46</f>
        <v>1678.9439999999997</v>
      </c>
      <c r="T61" s="2"/>
      <c r="U61" s="2"/>
    </row>
    <row r="62" spans="4:21" ht="15" thickBot="1" x14ac:dyDescent="0.35">
      <c r="D62" s="50">
        <v>45</v>
      </c>
      <c r="E62" s="49">
        <v>64.48</v>
      </c>
      <c r="F62" s="49">
        <v>76.72</v>
      </c>
      <c r="G62" s="49">
        <v>134.33000000000001</v>
      </c>
      <c r="H62" s="49">
        <v>174.36</v>
      </c>
      <c r="I62" s="48">
        <v>249.49</v>
      </c>
      <c r="J62" s="47">
        <v>697.5</v>
      </c>
      <c r="R62" s="4">
        <f>SUMPRODUCT(R57:R61,Q57:Q61,O57:O61,N57:N61)</f>
        <v>9197.7445075226951</v>
      </c>
      <c r="S62" s="4">
        <f>SUMPRODUCT(S57:S61,Q57:Q61,O57:O61,N57:N61)</f>
        <v>4528.3044222857852</v>
      </c>
      <c r="U62" s="11">
        <f>S62/R62</f>
        <v>0.49232770257775199</v>
      </c>
    </row>
    <row r="63" spans="4:21" ht="15" thickBot="1" x14ac:dyDescent="0.35">
      <c r="D63" s="50">
        <v>46</v>
      </c>
      <c r="E63" s="49">
        <v>65.77</v>
      </c>
      <c r="F63" s="49">
        <v>77.489999999999995</v>
      </c>
      <c r="G63" s="49">
        <v>137.02000000000001</v>
      </c>
      <c r="H63" s="49">
        <v>176.11</v>
      </c>
      <c r="I63" s="48">
        <v>250.74</v>
      </c>
      <c r="J63" s="47">
        <v>704.48</v>
      </c>
    </row>
    <row r="64" spans="4:21" ht="15" thickBot="1" x14ac:dyDescent="0.35">
      <c r="D64" s="50">
        <v>47</v>
      </c>
      <c r="E64" s="49">
        <v>67.09</v>
      </c>
      <c r="F64" s="49">
        <v>78.260000000000005</v>
      </c>
      <c r="G64" s="49">
        <v>139.77000000000001</v>
      </c>
      <c r="H64" s="49">
        <v>177.86</v>
      </c>
      <c r="I64" s="48">
        <v>251.99</v>
      </c>
      <c r="J64" s="47">
        <v>711.52</v>
      </c>
    </row>
    <row r="65" spans="4:21" ht="15" thickBot="1" x14ac:dyDescent="0.35">
      <c r="D65" s="50">
        <v>48</v>
      </c>
      <c r="E65" s="49">
        <v>68.430000000000007</v>
      </c>
      <c r="F65" s="49">
        <v>79.040000000000006</v>
      </c>
      <c r="G65" s="49">
        <v>142.56</v>
      </c>
      <c r="H65" s="49">
        <v>179.64</v>
      </c>
      <c r="I65" s="48">
        <v>253.25</v>
      </c>
      <c r="J65" s="47">
        <v>718.64</v>
      </c>
    </row>
    <row r="66" spans="4:21" ht="15" thickBot="1" x14ac:dyDescent="0.35">
      <c r="D66" s="50">
        <v>49</v>
      </c>
      <c r="E66" s="49">
        <v>69.8</v>
      </c>
      <c r="F66" s="49">
        <v>79.83</v>
      </c>
      <c r="G66" s="49">
        <v>145.41999999999999</v>
      </c>
      <c r="H66" s="49">
        <v>181.43</v>
      </c>
      <c r="I66" s="48">
        <v>254.52</v>
      </c>
      <c r="J66" s="47">
        <v>725.83</v>
      </c>
      <c r="L66" s="123" t="s">
        <v>551</v>
      </c>
    </row>
    <row r="67" spans="4:21" ht="15" thickBot="1" x14ac:dyDescent="0.35">
      <c r="D67" s="50">
        <v>50</v>
      </c>
      <c r="E67" s="49">
        <v>71.2</v>
      </c>
      <c r="F67" s="49">
        <v>80.63</v>
      </c>
      <c r="G67" s="49">
        <v>148.33000000000001</v>
      </c>
      <c r="H67" s="49">
        <v>183.25</v>
      </c>
      <c r="I67" s="48">
        <v>255.79</v>
      </c>
      <c r="J67" s="47">
        <v>733.09</v>
      </c>
      <c r="L67" s="159" t="s">
        <v>279</v>
      </c>
      <c r="M67" s="159" t="s">
        <v>7</v>
      </c>
      <c r="N67" s="159" t="s">
        <v>27</v>
      </c>
      <c r="O67" s="159" t="s">
        <v>550</v>
      </c>
      <c r="P67" s="159" t="s">
        <v>549</v>
      </c>
      <c r="Q67" s="159" t="s">
        <v>548</v>
      </c>
      <c r="R67" s="159" t="s">
        <v>547</v>
      </c>
      <c r="S67" s="159" t="s">
        <v>39</v>
      </c>
      <c r="T67" s="2"/>
      <c r="U67" s="159" t="s">
        <v>546</v>
      </c>
    </row>
    <row r="68" spans="4:21" ht="15" thickBot="1" x14ac:dyDescent="0.35">
      <c r="D68" s="50">
        <v>51</v>
      </c>
      <c r="E68" s="49">
        <v>72.62</v>
      </c>
      <c r="F68" s="49">
        <v>81.44</v>
      </c>
      <c r="G68" s="49">
        <v>151.29</v>
      </c>
      <c r="H68" s="49">
        <v>185.09</v>
      </c>
      <c r="I68" s="48">
        <v>257.07</v>
      </c>
      <c r="J68" s="47">
        <v>740.42</v>
      </c>
      <c r="L68">
        <v>0</v>
      </c>
      <c r="M68">
        <f>M47</f>
        <v>64</v>
      </c>
      <c r="N68" s="122">
        <f>1-D16</f>
        <v>0.99</v>
      </c>
      <c r="O68" s="122">
        <f>1-F24</f>
        <v>0.99299999999999999</v>
      </c>
      <c r="P68" s="122">
        <f>N68*O68</f>
        <v>0.98307</v>
      </c>
      <c r="Q68" s="122">
        <f>1/(1+$D$15)^(L68+0.5)</f>
        <v>0.98294637436598087</v>
      </c>
      <c r="R68" s="158">
        <f>$E$47</f>
        <v>1513.92</v>
      </c>
      <c r="S68" s="158">
        <f>I81*$N$47</f>
        <v>625.428</v>
      </c>
    </row>
    <row r="69" spans="4:21" ht="15" thickBot="1" x14ac:dyDescent="0.35">
      <c r="D69" s="50">
        <v>52</v>
      </c>
      <c r="E69" s="49">
        <v>74.069999999999993</v>
      </c>
      <c r="F69" s="49">
        <v>82.25</v>
      </c>
      <c r="G69" s="49">
        <v>154.31</v>
      </c>
      <c r="H69" s="49">
        <v>186.93</v>
      </c>
      <c r="I69" s="48">
        <v>258.36</v>
      </c>
      <c r="J69" s="47">
        <v>747.82</v>
      </c>
      <c r="L69">
        <v>1</v>
      </c>
      <c r="M69">
        <f>$M$68+L69</f>
        <v>65</v>
      </c>
      <c r="N69" s="122">
        <f>N68*(1-$D$16)</f>
        <v>0.98009999999999997</v>
      </c>
      <c r="O69" s="122">
        <f>O68*(1-$F$25)</f>
        <v>0.98307</v>
      </c>
      <c r="P69" s="122">
        <f>N69*O69</f>
        <v>0.96350690699999997</v>
      </c>
      <c r="Q69" s="122">
        <f>1/(1+$D$15)^(L69+0.5)</f>
        <v>0.94970664189949849</v>
      </c>
      <c r="R69" s="158">
        <f>$E$47</f>
        <v>1513.92</v>
      </c>
      <c r="S69" s="158">
        <f>I82*$N$47</f>
        <v>640.83600000000001</v>
      </c>
    </row>
    <row r="70" spans="4:21" ht="15" thickBot="1" x14ac:dyDescent="0.35">
      <c r="D70" s="50">
        <v>53</v>
      </c>
      <c r="E70" s="49">
        <v>75.55</v>
      </c>
      <c r="F70" s="49">
        <v>83.07</v>
      </c>
      <c r="G70" s="49">
        <v>157.4</v>
      </c>
      <c r="H70" s="49">
        <v>188.8</v>
      </c>
      <c r="I70" s="48">
        <v>259.64999999999998</v>
      </c>
      <c r="J70" s="47">
        <v>755.3</v>
      </c>
      <c r="L70">
        <v>2</v>
      </c>
      <c r="M70">
        <f>$M$68+L70</f>
        <v>66</v>
      </c>
      <c r="N70" s="122">
        <f>N69*(1-$D$16)</f>
        <v>0.97029899999999991</v>
      </c>
      <c r="O70" s="122">
        <f>O69*(1-$F$25)</f>
        <v>0.97323930000000003</v>
      </c>
      <c r="P70" s="122">
        <f>N70*O70</f>
        <v>0.94433311955069998</v>
      </c>
      <c r="Q70" s="122">
        <f>1/(1+$D$15)^(L70+0.5)</f>
        <v>0.91759095835700355</v>
      </c>
      <c r="R70" s="158">
        <f>$E$47</f>
        <v>1513.92</v>
      </c>
      <c r="S70" s="158">
        <f>I83*$N$47</f>
        <v>736.97400000000005</v>
      </c>
    </row>
    <row r="71" spans="4:21" ht="15" thickBot="1" x14ac:dyDescent="0.35">
      <c r="D71" s="50">
        <v>54</v>
      </c>
      <c r="E71" s="49">
        <v>77.06</v>
      </c>
      <c r="F71" s="49">
        <v>83.9</v>
      </c>
      <c r="G71" s="49">
        <v>160.54</v>
      </c>
      <c r="H71" s="49">
        <v>190.68</v>
      </c>
      <c r="I71" s="48">
        <v>260.95</v>
      </c>
      <c r="J71" s="47">
        <v>762.85</v>
      </c>
      <c r="L71">
        <v>3</v>
      </c>
      <c r="M71">
        <f>$M$68+L71</f>
        <v>67</v>
      </c>
      <c r="N71" s="122">
        <f>N70*(1-$D$16)</f>
        <v>0.96059600999999994</v>
      </c>
      <c r="O71" s="122">
        <f>O70*(1-$F$25)</f>
        <v>0.96350690699999997</v>
      </c>
      <c r="P71" s="122">
        <f>N71*O71</f>
        <v>0.92554089047164101</v>
      </c>
      <c r="Q71" s="122">
        <f>1/(1+$D$15)^(L71+0.5)</f>
        <v>0.88656131242222569</v>
      </c>
      <c r="R71" s="158">
        <f>$E$47</f>
        <v>1513.92</v>
      </c>
      <c r="S71" s="158">
        <f>I84*$N$47</f>
        <v>851.61599999999999</v>
      </c>
    </row>
    <row r="72" spans="4:21" ht="15" thickBot="1" x14ac:dyDescent="0.35">
      <c r="D72" s="50">
        <v>55</v>
      </c>
      <c r="E72" s="49">
        <v>78.599999999999994</v>
      </c>
      <c r="F72" s="49">
        <v>84.74</v>
      </c>
      <c r="G72" s="49">
        <v>163.75</v>
      </c>
      <c r="H72" s="49">
        <v>192.59</v>
      </c>
      <c r="I72" s="48">
        <v>262.25</v>
      </c>
      <c r="J72" s="47">
        <v>770.48</v>
      </c>
      <c r="L72" s="2">
        <v>4</v>
      </c>
      <c r="M72" s="2">
        <f>$M$68+L72</f>
        <v>68</v>
      </c>
      <c r="N72" s="157">
        <f>N71*(1-$D$16)</f>
        <v>0.95099004989999991</v>
      </c>
      <c r="O72" s="157">
        <f>O71*(1-$F$25)</f>
        <v>0.95387183792999997</v>
      </c>
      <c r="P72" s="157">
        <f>N72*O72</f>
        <v>0.90712262675125532</v>
      </c>
      <c r="Q72" s="157">
        <f>1/(1+$D$15)^(L72+0.5)</f>
        <v>0.85658097818572543</v>
      </c>
      <c r="R72" s="156">
        <f>$E$47</f>
        <v>1513.92</v>
      </c>
      <c r="S72" s="156">
        <f>I85*$N$47</f>
        <v>1064.556</v>
      </c>
      <c r="T72" s="2"/>
      <c r="U72" s="2"/>
    </row>
    <row r="73" spans="4:21" ht="15" thickBot="1" x14ac:dyDescent="0.35">
      <c r="D73" s="50">
        <v>56</v>
      </c>
      <c r="E73" s="49">
        <v>80.17</v>
      </c>
      <c r="F73" s="49">
        <v>85.59</v>
      </c>
      <c r="G73" s="49">
        <v>167.02</v>
      </c>
      <c r="H73" s="49">
        <v>194.52</v>
      </c>
      <c r="I73" s="48">
        <v>267.23</v>
      </c>
      <c r="J73" s="47">
        <v>778.18</v>
      </c>
      <c r="R73" s="4">
        <f>SUMPRODUCT(R68:R72,Q68:Q72,O68:O72,N68:N72)</f>
        <v>6578.6459012260866</v>
      </c>
      <c r="S73" s="4">
        <f>SUMPRODUCT(S68:S72,Q68:Q72,O68:O72,N68:N72)</f>
        <v>3355.3250026638943</v>
      </c>
      <c r="U73" s="11">
        <f>S73/R73</f>
        <v>0.5100327716435612</v>
      </c>
    </row>
    <row r="74" spans="4:21" ht="15" thickBot="1" x14ac:dyDescent="0.35">
      <c r="D74" s="50">
        <v>57</v>
      </c>
      <c r="E74" s="49">
        <v>81.77</v>
      </c>
      <c r="F74" s="49">
        <v>86.45</v>
      </c>
      <c r="G74" s="49">
        <v>170.35</v>
      </c>
      <c r="H74" s="49">
        <v>196.48</v>
      </c>
      <c r="I74" s="48">
        <v>272.56</v>
      </c>
      <c r="J74" s="47">
        <v>785.96</v>
      </c>
    </row>
    <row r="75" spans="4:21" ht="15" thickBot="1" x14ac:dyDescent="0.35">
      <c r="D75" s="50">
        <v>58</v>
      </c>
      <c r="E75" s="49">
        <v>83.41</v>
      </c>
      <c r="F75" s="49">
        <v>87.31</v>
      </c>
      <c r="G75" s="49">
        <v>173.77</v>
      </c>
      <c r="H75" s="49">
        <v>198.43</v>
      </c>
      <c r="I75" s="48">
        <v>278.02999999999997</v>
      </c>
      <c r="J75" s="47">
        <v>793.82</v>
      </c>
    </row>
    <row r="76" spans="4:21" ht="15" thickBot="1" x14ac:dyDescent="0.35">
      <c r="D76" s="50">
        <v>59</v>
      </c>
      <c r="E76" s="49">
        <v>85.08</v>
      </c>
      <c r="F76" s="49">
        <v>88.18</v>
      </c>
      <c r="G76" s="49">
        <v>177.25</v>
      </c>
      <c r="H76" s="49">
        <v>200.41</v>
      </c>
      <c r="I76" s="48">
        <v>283.60000000000002</v>
      </c>
      <c r="J76" s="47">
        <v>801.76</v>
      </c>
    </row>
    <row r="77" spans="4:21" ht="15" thickBot="1" x14ac:dyDescent="0.35">
      <c r="D77" s="50">
        <v>60</v>
      </c>
      <c r="E77" s="49">
        <v>89.33</v>
      </c>
      <c r="F77" s="49">
        <v>89.94</v>
      </c>
      <c r="G77" s="49">
        <v>178.66</v>
      </c>
      <c r="H77" s="49">
        <v>195.52</v>
      </c>
      <c r="I77" s="48">
        <v>285.86</v>
      </c>
      <c r="J77" s="47">
        <v>809.78</v>
      </c>
    </row>
    <row r="78" spans="4:21" ht="15" thickBot="1" x14ac:dyDescent="0.35">
      <c r="D78" s="50">
        <v>61</v>
      </c>
      <c r="E78" s="49">
        <v>93.8</v>
      </c>
      <c r="F78" s="49">
        <v>92.64</v>
      </c>
      <c r="G78" s="49">
        <v>187.6</v>
      </c>
      <c r="H78" s="49">
        <v>201.39</v>
      </c>
      <c r="I78" s="48">
        <v>300.16000000000003</v>
      </c>
      <c r="J78" s="47">
        <v>817.88</v>
      </c>
    </row>
    <row r="79" spans="4:21" ht="15" thickBot="1" x14ac:dyDescent="0.35">
      <c r="D79" s="50">
        <v>62</v>
      </c>
      <c r="E79" s="49">
        <v>98.49</v>
      </c>
      <c r="F79" s="49">
        <v>96.35</v>
      </c>
      <c r="G79" s="49">
        <v>196.98</v>
      </c>
      <c r="H79" s="49">
        <v>209.46</v>
      </c>
      <c r="I79" s="48">
        <v>315.17</v>
      </c>
      <c r="J79" s="47">
        <v>830.15</v>
      </c>
    </row>
    <row r="80" spans="4:21" ht="15" thickBot="1" x14ac:dyDescent="0.35">
      <c r="D80" s="50">
        <v>63</v>
      </c>
      <c r="E80" s="49">
        <v>103.41</v>
      </c>
      <c r="F80" s="49">
        <v>100.2</v>
      </c>
      <c r="G80" s="49">
        <v>206.82</v>
      </c>
      <c r="H80" s="49">
        <v>217.83</v>
      </c>
      <c r="I80" s="48">
        <v>330.91</v>
      </c>
      <c r="J80" s="47">
        <v>842.6</v>
      </c>
    </row>
    <row r="81" spans="4:10" ht="15" thickBot="1" x14ac:dyDescent="0.35">
      <c r="D81" s="50">
        <v>64</v>
      </c>
      <c r="E81" s="49">
        <v>108.58</v>
      </c>
      <c r="F81" s="49">
        <v>104.21</v>
      </c>
      <c r="G81" s="49">
        <v>217.16</v>
      </c>
      <c r="H81" s="49">
        <v>226.54</v>
      </c>
      <c r="I81" s="155">
        <v>347.46</v>
      </c>
      <c r="J81" s="47">
        <v>855.24</v>
      </c>
    </row>
    <row r="82" spans="4:10" ht="15" thickBot="1" x14ac:dyDescent="0.35">
      <c r="D82" s="50">
        <v>65</v>
      </c>
      <c r="E82" s="49">
        <v>119.44</v>
      </c>
      <c r="F82" s="49">
        <v>109.42</v>
      </c>
      <c r="G82" s="49">
        <v>229.69</v>
      </c>
      <c r="H82" s="49">
        <v>237.87</v>
      </c>
      <c r="I82" s="155">
        <v>356.02</v>
      </c>
      <c r="J82" s="47">
        <v>868.07</v>
      </c>
    </row>
    <row r="83" spans="4:10" ht="15" thickBot="1" x14ac:dyDescent="0.35">
      <c r="D83" s="50">
        <v>66</v>
      </c>
      <c r="E83" s="49">
        <v>137.36000000000001</v>
      </c>
      <c r="F83" s="49">
        <v>114.89</v>
      </c>
      <c r="G83" s="49">
        <v>264.14999999999998</v>
      </c>
      <c r="H83" s="49">
        <v>249.76</v>
      </c>
      <c r="I83" s="155">
        <v>409.43</v>
      </c>
      <c r="J83" s="47">
        <v>885.43</v>
      </c>
    </row>
    <row r="84" spans="4:10" ht="15" thickBot="1" x14ac:dyDescent="0.35">
      <c r="D84" s="50">
        <v>67</v>
      </c>
      <c r="E84" s="49">
        <v>164.83</v>
      </c>
      <c r="F84" s="49">
        <v>132.12</v>
      </c>
      <c r="G84" s="49">
        <v>305.24</v>
      </c>
      <c r="H84" s="49">
        <v>287.22000000000003</v>
      </c>
      <c r="I84" s="155">
        <v>473.12</v>
      </c>
      <c r="J84" s="47">
        <v>903.14</v>
      </c>
    </row>
    <row r="85" spans="4:10" ht="15" thickBot="1" x14ac:dyDescent="0.35">
      <c r="D85" s="50">
        <v>68</v>
      </c>
      <c r="E85" s="49">
        <v>206.04</v>
      </c>
      <c r="F85" s="49">
        <v>151.94</v>
      </c>
      <c r="G85" s="49">
        <v>381.56</v>
      </c>
      <c r="H85" s="49">
        <v>330.3</v>
      </c>
      <c r="I85" s="155">
        <v>591.41999999999996</v>
      </c>
      <c r="J85" s="47">
        <v>921.2</v>
      </c>
    </row>
    <row r="86" spans="4:10" ht="15" thickBot="1" x14ac:dyDescent="0.35">
      <c r="D86" s="50">
        <v>69</v>
      </c>
      <c r="E86" s="49">
        <v>267.85000000000002</v>
      </c>
      <c r="F86" s="49">
        <v>174.73</v>
      </c>
      <c r="G86" s="49">
        <v>496.02</v>
      </c>
      <c r="H86" s="49">
        <v>379.85</v>
      </c>
      <c r="I86" s="48">
        <v>768.83</v>
      </c>
      <c r="J86" s="47">
        <v>944.23</v>
      </c>
    </row>
    <row r="87" spans="4:10" ht="15" thickBot="1" x14ac:dyDescent="0.35">
      <c r="D87" s="50">
        <v>70</v>
      </c>
      <c r="E87" s="49">
        <v>361.6</v>
      </c>
      <c r="F87" s="49">
        <v>200.94</v>
      </c>
      <c r="G87" s="49">
        <v>645.71</v>
      </c>
      <c r="H87" s="49">
        <v>436.83</v>
      </c>
      <c r="I87" s="48">
        <v>968.57</v>
      </c>
      <c r="J87" s="47">
        <v>967.84</v>
      </c>
    </row>
    <row r="88" spans="4:10" ht="15" thickBot="1" x14ac:dyDescent="0.35">
      <c r="D88" s="50">
        <v>71</v>
      </c>
      <c r="E88" s="49">
        <v>488.16</v>
      </c>
      <c r="F88" s="49">
        <v>231.08</v>
      </c>
      <c r="G88" s="49">
        <v>871.71</v>
      </c>
      <c r="H88" s="49">
        <v>481.42</v>
      </c>
      <c r="I88" s="48">
        <v>1307.57</v>
      </c>
      <c r="J88" s="47">
        <v>992.04</v>
      </c>
    </row>
    <row r="89" spans="4:10" ht="15" thickBot="1" x14ac:dyDescent="0.35">
      <c r="D89" s="50">
        <v>72</v>
      </c>
      <c r="E89" s="49">
        <v>659.02</v>
      </c>
      <c r="F89" s="49">
        <v>265.74</v>
      </c>
      <c r="G89" s="49">
        <v>1176.82</v>
      </c>
      <c r="H89" s="154">
        <v>553.63</v>
      </c>
      <c r="I89" s="48">
        <v>1765.23</v>
      </c>
      <c r="J89" s="47">
        <v>1016.84</v>
      </c>
    </row>
    <row r="90" spans="4:10" ht="15" thickBot="1" x14ac:dyDescent="0.35">
      <c r="D90" s="50">
        <v>73</v>
      </c>
      <c r="E90" s="49">
        <v>889.68</v>
      </c>
      <c r="F90" s="49">
        <v>318.89</v>
      </c>
      <c r="G90" s="49">
        <v>1533.93</v>
      </c>
      <c r="H90" s="154">
        <v>664.35</v>
      </c>
      <c r="I90" s="48">
        <v>2300.9</v>
      </c>
      <c r="J90" s="47">
        <v>1042.26</v>
      </c>
    </row>
    <row r="91" spans="4:10" ht="15" thickBot="1" x14ac:dyDescent="0.35">
      <c r="D91" s="50">
        <v>74</v>
      </c>
      <c r="E91" s="49">
        <v>1156.58</v>
      </c>
      <c r="F91" s="49">
        <v>398.61</v>
      </c>
      <c r="G91" s="49">
        <v>1994.1</v>
      </c>
      <c r="H91" s="154">
        <v>830.44</v>
      </c>
      <c r="I91" s="48">
        <v>2991.15</v>
      </c>
      <c r="J91" s="47">
        <v>1328.7</v>
      </c>
    </row>
    <row r="92" spans="4:10" ht="15" thickBot="1" x14ac:dyDescent="0.35">
      <c r="D92" s="50">
        <v>75</v>
      </c>
      <c r="E92" s="49">
        <v>1503.55</v>
      </c>
      <c r="F92" s="49">
        <v>518.19000000000005</v>
      </c>
      <c r="G92" s="49">
        <v>2505.92</v>
      </c>
      <c r="H92" s="154">
        <v>1079.56</v>
      </c>
      <c r="I92" s="48">
        <v>3633.58</v>
      </c>
      <c r="J92" s="47">
        <v>1727.3</v>
      </c>
    </row>
    <row r="93" spans="4:10" ht="15" thickBot="1" x14ac:dyDescent="0.35">
      <c r="D93" s="50">
        <v>76</v>
      </c>
      <c r="E93" s="49">
        <v>1879.44</v>
      </c>
      <c r="F93" s="49">
        <v>699.56</v>
      </c>
      <c r="G93" s="49">
        <v>3132.4</v>
      </c>
      <c r="H93" s="154">
        <v>1399.12</v>
      </c>
      <c r="I93" s="48">
        <v>4541.9799999999996</v>
      </c>
      <c r="J93" s="47">
        <v>2238.59</v>
      </c>
    </row>
    <row r="94" spans="4:10" ht="15" thickBot="1" x14ac:dyDescent="0.35">
      <c r="D94" s="50">
        <v>77</v>
      </c>
      <c r="E94" s="49">
        <v>2255.33</v>
      </c>
      <c r="F94" s="49">
        <v>944.41</v>
      </c>
      <c r="G94" s="49">
        <v>3758.88</v>
      </c>
      <c r="H94" s="49">
        <v>1888.82</v>
      </c>
      <c r="I94" s="48">
        <v>5199.28</v>
      </c>
      <c r="J94" s="47">
        <v>3022.11</v>
      </c>
    </row>
    <row r="95" spans="4:10" ht="15" thickBot="1" x14ac:dyDescent="0.35">
      <c r="D95" s="50">
        <v>78</v>
      </c>
      <c r="E95" s="49">
        <v>2593.63</v>
      </c>
      <c r="F95" s="49">
        <v>1274.95</v>
      </c>
      <c r="G95" s="49">
        <v>4183.2700000000004</v>
      </c>
      <c r="H95" s="49">
        <v>2549.9</v>
      </c>
      <c r="I95" s="48">
        <v>5856.58</v>
      </c>
      <c r="J95" s="47">
        <v>3952.35</v>
      </c>
    </row>
    <row r="96" spans="4:10" ht="15" thickBot="1" x14ac:dyDescent="0.35">
      <c r="D96" s="50">
        <v>79</v>
      </c>
      <c r="E96" s="49">
        <v>2852.99</v>
      </c>
      <c r="F96" s="49">
        <v>1657.44</v>
      </c>
      <c r="G96" s="49">
        <v>4457.8</v>
      </c>
      <c r="H96" s="49">
        <v>3314.88</v>
      </c>
      <c r="I96" s="48">
        <v>6240.92</v>
      </c>
      <c r="J96" s="47">
        <v>5138.0600000000004</v>
      </c>
    </row>
    <row r="97" spans="4:10" ht="15" thickBot="1" x14ac:dyDescent="0.35">
      <c r="D97" s="46">
        <v>80</v>
      </c>
      <c r="E97" s="45">
        <v>2995.64</v>
      </c>
      <c r="F97" s="45">
        <v>2154.67</v>
      </c>
      <c r="G97" s="45">
        <v>4538.8500000000004</v>
      </c>
      <c r="H97" s="45">
        <v>4309.34</v>
      </c>
      <c r="I97" s="44">
        <v>6242.76</v>
      </c>
      <c r="J97" s="43">
        <v>6679.48</v>
      </c>
    </row>
    <row r="98" spans="4:10" ht="15" thickTop="1" x14ac:dyDescent="0.3"/>
  </sheetData>
  <mergeCells count="6">
    <mergeCell ref="D55:J55"/>
    <mergeCell ref="D8:E8"/>
    <mergeCell ref="E21:F21"/>
    <mergeCell ref="D41:H41"/>
    <mergeCell ref="L41:Q41"/>
    <mergeCell ref="D44:J4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C294E-F37A-4983-A7F9-DB01627D63DF}">
  <sheetPr>
    <tabColor theme="5" tint="0.39997558519241921"/>
  </sheetPr>
  <dimension ref="A1:T34"/>
  <sheetViews>
    <sheetView workbookViewId="0">
      <selection activeCell="U46" sqref="U46"/>
    </sheetView>
  </sheetViews>
  <sheetFormatPr defaultRowHeight="14.4" x14ac:dyDescent="0.3"/>
  <cols>
    <col min="8" max="8" width="9.88671875" bestFit="1" customWidth="1"/>
    <col min="12" max="12" width="10.88671875" bestFit="1" customWidth="1"/>
    <col min="13" max="13" width="13.5546875" bestFit="1" customWidth="1"/>
    <col min="16" max="17" width="10.33203125" bestFit="1" customWidth="1"/>
    <col min="18" max="19" width="10.88671875" bestFit="1" customWidth="1"/>
  </cols>
  <sheetData>
    <row r="1" spans="1:8" ht="15" thickBot="1" x14ac:dyDescent="0.35">
      <c r="A1" t="s">
        <v>196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0.05</v>
      </c>
      <c r="D12" t="s">
        <v>195</v>
      </c>
    </row>
    <row r="13" spans="1:8" x14ac:dyDescent="0.3">
      <c r="D13" t="s">
        <v>194</v>
      </c>
    </row>
    <row r="14" spans="1:8" x14ac:dyDescent="0.3">
      <c r="D14" t="s">
        <v>193</v>
      </c>
    </row>
    <row r="15" spans="1:8" x14ac:dyDescent="0.3">
      <c r="D15" t="s">
        <v>192</v>
      </c>
    </row>
    <row r="17" spans="3:20" x14ac:dyDescent="0.3">
      <c r="C17">
        <v>2400</v>
      </c>
      <c r="D17" t="s">
        <v>191</v>
      </c>
    </row>
    <row r="21" spans="3:20" ht="15" thickBot="1" x14ac:dyDescent="0.35"/>
    <row r="22" spans="3:20" ht="15" thickBot="1" x14ac:dyDescent="0.35">
      <c r="C22" s="399" t="s">
        <v>10</v>
      </c>
      <c r="D22" s="400"/>
      <c r="E22" s="400"/>
      <c r="F22" s="400"/>
      <c r="G22" s="400"/>
      <c r="H22" s="400"/>
      <c r="I22" s="400"/>
      <c r="J22" s="401"/>
      <c r="L22" s="399" t="s">
        <v>0</v>
      </c>
      <c r="M22" s="400"/>
      <c r="N22" s="400"/>
      <c r="O22" s="400"/>
      <c r="P22" s="400"/>
      <c r="Q22" s="400"/>
      <c r="R22" s="400"/>
      <c r="S22" s="400"/>
      <c r="T22" s="401"/>
    </row>
    <row r="25" spans="3:20" x14ac:dyDescent="0.3">
      <c r="J25" t="s">
        <v>190</v>
      </c>
    </row>
    <row r="26" spans="3:20" x14ac:dyDescent="0.3">
      <c r="C26" t="s">
        <v>189</v>
      </c>
      <c r="D26" t="s">
        <v>146</v>
      </c>
      <c r="E26" t="s">
        <v>5</v>
      </c>
      <c r="F26" t="s">
        <v>188</v>
      </c>
      <c r="G26" t="s">
        <v>187</v>
      </c>
      <c r="H26" t="s">
        <v>186</v>
      </c>
      <c r="I26" t="s">
        <v>185</v>
      </c>
      <c r="J26" t="s">
        <v>184</v>
      </c>
    </row>
    <row r="27" spans="3:20" x14ac:dyDescent="0.3">
      <c r="C27">
        <v>1</v>
      </c>
      <c r="D27">
        <v>80</v>
      </c>
      <c r="E27" s="1">
        <v>0.18</v>
      </c>
      <c r="F27">
        <v>9.8000000000000004E-2</v>
      </c>
      <c r="G27" s="62">
        <v>1000</v>
      </c>
      <c r="H27" s="18">
        <v>1600</v>
      </c>
      <c r="I27">
        <v>7.6999999999999999E-2</v>
      </c>
      <c r="J27">
        <v>-0.03</v>
      </c>
    </row>
    <row r="28" spans="3:20" x14ac:dyDescent="0.3">
      <c r="C28">
        <v>2</v>
      </c>
      <c r="D28">
        <v>81</v>
      </c>
      <c r="E28" s="1">
        <v>0.15</v>
      </c>
      <c r="F28">
        <v>0.107</v>
      </c>
      <c r="G28">
        <v>740</v>
      </c>
      <c r="H28" s="18">
        <v>1650</v>
      </c>
      <c r="I28">
        <v>0.08</v>
      </c>
      <c r="J28">
        <v>-0.03</v>
      </c>
    </row>
    <row r="29" spans="3:20" x14ac:dyDescent="0.3">
      <c r="C29">
        <v>3</v>
      </c>
      <c r="D29">
        <v>82</v>
      </c>
      <c r="E29" s="1">
        <v>0.15</v>
      </c>
      <c r="F29">
        <v>0.11799999999999999</v>
      </c>
      <c r="G29">
        <v>560</v>
      </c>
      <c r="H29" s="18">
        <v>1690</v>
      </c>
      <c r="I29">
        <v>8.2000000000000003E-2</v>
      </c>
      <c r="J29">
        <v>-0.03</v>
      </c>
    </row>
    <row r="32" spans="3:20" x14ac:dyDescent="0.3">
      <c r="G32" s="62"/>
      <c r="H32" s="61"/>
    </row>
    <row r="33" spans="8:8" x14ac:dyDescent="0.3">
      <c r="H33" s="61"/>
    </row>
    <row r="34" spans="8:8" x14ac:dyDescent="0.3">
      <c r="H34" s="61"/>
    </row>
  </sheetData>
  <mergeCells count="3">
    <mergeCell ref="C10:F10"/>
    <mergeCell ref="C22:J22"/>
    <mergeCell ref="L22:T2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A2D7-5FB6-4DC6-AF0D-38C14BECD6DD}">
  <sheetPr>
    <tabColor theme="9" tint="0.59999389629810485"/>
  </sheetPr>
  <dimension ref="A1:AC34"/>
  <sheetViews>
    <sheetView workbookViewId="0">
      <selection activeCell="O51" sqref="O51"/>
    </sheetView>
  </sheetViews>
  <sheetFormatPr defaultRowHeight="14.4" x14ac:dyDescent="0.3"/>
  <cols>
    <col min="8" max="8" width="9.88671875" bestFit="1" customWidth="1"/>
    <col min="12" max="12" width="10.88671875" bestFit="1" customWidth="1"/>
    <col min="13" max="13" width="13.5546875" bestFit="1" customWidth="1"/>
    <col min="16" max="17" width="10.33203125" bestFit="1" customWidth="1"/>
    <col min="18" max="19" width="10.88671875" bestFit="1" customWidth="1"/>
  </cols>
  <sheetData>
    <row r="1" spans="1:8" ht="15" thickBot="1" x14ac:dyDescent="0.35">
      <c r="A1" t="s">
        <v>196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0.05</v>
      </c>
      <c r="D12" t="s">
        <v>195</v>
      </c>
    </row>
    <row r="13" spans="1:8" x14ac:dyDescent="0.3">
      <c r="D13" t="s">
        <v>194</v>
      </c>
    </row>
    <row r="14" spans="1:8" x14ac:dyDescent="0.3">
      <c r="D14" t="s">
        <v>193</v>
      </c>
    </row>
    <row r="15" spans="1:8" x14ac:dyDescent="0.3">
      <c r="D15" t="s">
        <v>192</v>
      </c>
    </row>
    <row r="17" spans="3:29" x14ac:dyDescent="0.3">
      <c r="C17">
        <v>2400</v>
      </c>
      <c r="D17" t="s">
        <v>191</v>
      </c>
    </row>
    <row r="21" spans="3:29" ht="15" thickBot="1" x14ac:dyDescent="0.35"/>
    <row r="22" spans="3:29" ht="15" thickBot="1" x14ac:dyDescent="0.35">
      <c r="C22" s="399" t="s">
        <v>10</v>
      </c>
      <c r="D22" s="400"/>
      <c r="E22" s="400"/>
      <c r="F22" s="400"/>
      <c r="G22" s="400"/>
      <c r="H22" s="400"/>
      <c r="I22" s="400"/>
      <c r="J22" s="401"/>
      <c r="L22" s="399" t="s">
        <v>0</v>
      </c>
      <c r="M22" s="400"/>
      <c r="N22" s="400"/>
      <c r="O22" s="400"/>
      <c r="P22" s="400"/>
      <c r="Q22" s="400"/>
      <c r="R22" s="400"/>
      <c r="S22" s="400"/>
      <c r="T22" s="401"/>
    </row>
    <row r="25" spans="3:29" x14ac:dyDescent="0.3">
      <c r="J25" t="s">
        <v>190</v>
      </c>
      <c r="N25" s="413" t="s">
        <v>565</v>
      </c>
      <c r="O25" s="413"/>
      <c r="R25" s="413" t="s">
        <v>564</v>
      </c>
      <c r="S25" s="413"/>
    </row>
    <row r="26" spans="3:29" x14ac:dyDescent="0.3">
      <c r="C26" t="s">
        <v>189</v>
      </c>
      <c r="D26" t="s">
        <v>146</v>
      </c>
      <c r="E26" t="s">
        <v>5</v>
      </c>
      <c r="F26" t="s">
        <v>188</v>
      </c>
      <c r="G26" t="s">
        <v>187</v>
      </c>
      <c r="H26" t="s">
        <v>186</v>
      </c>
      <c r="I26" t="s">
        <v>185</v>
      </c>
      <c r="J26" t="s">
        <v>184</v>
      </c>
      <c r="L26" s="30" t="s">
        <v>547</v>
      </c>
      <c r="M26" s="30" t="s">
        <v>39</v>
      </c>
      <c r="N26" s="30" t="s">
        <v>547</v>
      </c>
      <c r="O26" s="30" t="s">
        <v>39</v>
      </c>
      <c r="P26" s="30" t="s">
        <v>563</v>
      </c>
      <c r="Q26" s="30" t="s">
        <v>562</v>
      </c>
      <c r="R26" s="30" t="s">
        <v>547</v>
      </c>
      <c r="S26" s="30" t="s">
        <v>39</v>
      </c>
      <c r="T26" s="30" t="s">
        <v>546</v>
      </c>
    </row>
    <row r="27" spans="3:29" x14ac:dyDescent="0.3">
      <c r="C27">
        <v>1</v>
      </c>
      <c r="D27">
        <v>80</v>
      </c>
      <c r="E27" s="1">
        <v>0.18</v>
      </c>
      <c r="F27">
        <v>9.8000000000000004E-2</v>
      </c>
      <c r="G27" s="62">
        <v>1000</v>
      </c>
      <c r="H27" s="18">
        <v>1600</v>
      </c>
      <c r="I27">
        <v>7.6999999999999999E-2</v>
      </c>
      <c r="J27">
        <v>-0.03</v>
      </c>
      <c r="L27" s="18">
        <f>$C$17*G27</f>
        <v>2400000</v>
      </c>
      <c r="M27" s="18">
        <f>H27*(1+I27)*(1+J27)*G27</f>
        <v>1671503.9999999998</v>
      </c>
      <c r="N27">
        <v>0</v>
      </c>
      <c r="O27">
        <v>0.5</v>
      </c>
      <c r="P27" s="122">
        <f t="shared" ref="P27:Q29" si="0">(1/(1+$C$12))^N27</f>
        <v>1</v>
      </c>
      <c r="Q27" s="122">
        <f t="shared" si="0"/>
        <v>0.9759000729485332</v>
      </c>
      <c r="R27" s="18">
        <f t="shared" ref="R27:S29" si="1">L27*P27</f>
        <v>2400000</v>
      </c>
      <c r="S27" s="18">
        <f t="shared" si="1"/>
        <v>1631220.8755337647</v>
      </c>
      <c r="T27" s="125">
        <f>S27/R27</f>
        <v>0.67967536480573532</v>
      </c>
    </row>
    <row r="28" spans="3:29" x14ac:dyDescent="0.3">
      <c r="C28">
        <v>2</v>
      </c>
      <c r="D28">
        <v>81</v>
      </c>
      <c r="E28" s="1">
        <v>0.15</v>
      </c>
      <c r="F28">
        <v>0.107</v>
      </c>
      <c r="G28">
        <v>740</v>
      </c>
      <c r="H28" s="18">
        <v>1650</v>
      </c>
      <c r="I28">
        <v>0.08</v>
      </c>
      <c r="J28">
        <v>-0.03</v>
      </c>
      <c r="L28" s="18">
        <f>$C$17*G28</f>
        <v>1776000</v>
      </c>
      <c r="M28" s="18">
        <f>H28*(1+I28)*(1+J28)*G28</f>
        <v>1279119.6000000001</v>
      </c>
      <c r="N28">
        <f>1+N27</f>
        <v>1</v>
      </c>
      <c r="O28">
        <f>1+O27</f>
        <v>1.5</v>
      </c>
      <c r="P28" s="122">
        <f t="shared" si="0"/>
        <v>0.95238095238095233</v>
      </c>
      <c r="Q28" s="122">
        <f t="shared" si="0"/>
        <v>0.92942864090336486</v>
      </c>
      <c r="R28" s="18">
        <f t="shared" si="1"/>
        <v>1691428.5714285714</v>
      </c>
      <c r="S28" s="18">
        <f t="shared" si="1"/>
        <v>1188850.3913808558</v>
      </c>
      <c r="T28" s="125">
        <f>S28/R28</f>
        <v>0.70286763003935737</v>
      </c>
    </row>
    <row r="29" spans="3:29" x14ac:dyDescent="0.3">
      <c r="C29">
        <v>3</v>
      </c>
      <c r="D29">
        <v>82</v>
      </c>
      <c r="E29" s="1">
        <v>0.15</v>
      </c>
      <c r="F29">
        <v>0.11799999999999999</v>
      </c>
      <c r="G29">
        <v>560</v>
      </c>
      <c r="H29" s="18">
        <v>1690</v>
      </c>
      <c r="I29">
        <v>8.2000000000000003E-2</v>
      </c>
      <c r="J29">
        <v>-0.03</v>
      </c>
      <c r="L29" s="18">
        <f>$C$17*G29</f>
        <v>1344000</v>
      </c>
      <c r="M29" s="18">
        <f>H29*(1+I29)*(1+J29)*G29</f>
        <v>993284.65600000008</v>
      </c>
      <c r="N29">
        <f>1+N28</f>
        <v>2</v>
      </c>
      <c r="O29">
        <f>1+O28</f>
        <v>2.5</v>
      </c>
      <c r="P29" s="122">
        <f t="shared" si="0"/>
        <v>0.90702947845804982</v>
      </c>
      <c r="Q29" s="122">
        <f t="shared" si="0"/>
        <v>0.88517013419368074</v>
      </c>
      <c r="R29" s="18">
        <f t="shared" si="1"/>
        <v>1219047.6190476189</v>
      </c>
      <c r="S29" s="18">
        <f t="shared" si="1"/>
        <v>879225.91224404413</v>
      </c>
      <c r="T29" s="125">
        <f>S29/R29</f>
        <v>0.72124000613769257</v>
      </c>
    </row>
    <row r="30" spans="3:29" x14ac:dyDescent="0.3">
      <c r="R30" s="18">
        <f>SUM(R27:R29)</f>
        <v>5310476.1904761903</v>
      </c>
      <c r="S30" s="18">
        <f>SUM(S27:S29)</f>
        <v>3699297.1791586648</v>
      </c>
      <c r="T30" s="124">
        <f>S30/R30</f>
        <v>0.69660366537241714</v>
      </c>
      <c r="U30" s="8" t="s">
        <v>561</v>
      </c>
      <c r="V30" s="8"/>
      <c r="W30" s="8"/>
      <c r="X30" s="8"/>
      <c r="Y30" s="8"/>
      <c r="Z30" s="8"/>
      <c r="AA30" s="8"/>
      <c r="AB30" s="8"/>
      <c r="AC30" s="8"/>
    </row>
    <row r="32" spans="3:29" x14ac:dyDescent="0.3">
      <c r="G32" s="62"/>
      <c r="H32" s="61"/>
      <c r="T32" t="s">
        <v>560</v>
      </c>
    </row>
    <row r="33" spans="8:25" x14ac:dyDescent="0.3">
      <c r="H33" s="61"/>
      <c r="T33" s="124">
        <f>M29/L29</f>
        <v>0.73905108333333336</v>
      </c>
      <c r="U33" s="8" t="s">
        <v>559</v>
      </c>
      <c r="V33" s="8"/>
      <c r="W33" s="8"/>
      <c r="X33" s="8"/>
      <c r="Y33" s="8"/>
    </row>
    <row r="34" spans="8:25" x14ac:dyDescent="0.3">
      <c r="H34" s="61"/>
    </row>
  </sheetData>
  <mergeCells count="5">
    <mergeCell ref="C10:F10"/>
    <mergeCell ref="C22:J22"/>
    <mergeCell ref="L22:T22"/>
    <mergeCell ref="N25:O25"/>
    <mergeCell ref="R25:S2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41F8-607D-4DFC-89FE-F0011405094E}">
  <sheetPr>
    <tabColor theme="5" tint="0.39997558519241921"/>
  </sheetPr>
  <dimension ref="A1:M50"/>
  <sheetViews>
    <sheetView zoomScaleNormal="100" workbookViewId="0">
      <selection activeCell="U46" sqref="U46"/>
    </sheetView>
  </sheetViews>
  <sheetFormatPr defaultRowHeight="14.4" x14ac:dyDescent="0.3"/>
  <cols>
    <col min="4" max="4" width="17.33203125" customWidth="1"/>
    <col min="6" max="6" width="10.33203125" customWidth="1"/>
    <col min="7" max="7" width="11.6640625" customWidth="1"/>
    <col min="8" max="8" width="12" customWidth="1"/>
    <col min="9" max="9" width="12.109375" customWidth="1"/>
    <col min="10" max="11" width="10.109375" bestFit="1" customWidth="1"/>
    <col min="12" max="12" width="14.88671875" customWidth="1"/>
    <col min="13" max="13" width="7.5546875" customWidth="1"/>
    <col min="14" max="14" width="9.88671875" customWidth="1"/>
    <col min="15" max="15" width="11.33203125" customWidth="1"/>
    <col min="16" max="16" width="9.5546875" bestFit="1" customWidth="1"/>
    <col min="17" max="17" width="10.5546875" customWidth="1"/>
    <col min="20" max="20" width="10.88671875" customWidth="1"/>
  </cols>
  <sheetData>
    <row r="1" spans="1:8" ht="15" thickBot="1" x14ac:dyDescent="0.35">
      <c r="A1" t="s">
        <v>209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0.2</v>
      </c>
      <c r="D12" s="1">
        <v>0.1</v>
      </c>
      <c r="E12" s="1">
        <v>0</v>
      </c>
      <c r="F12" t="s">
        <v>208</v>
      </c>
    </row>
    <row r="13" spans="1:8" x14ac:dyDescent="0.3">
      <c r="C13" s="1">
        <v>-0.03</v>
      </c>
      <c r="D13" t="s">
        <v>207</v>
      </c>
    </row>
    <row r="14" spans="1:8" x14ac:dyDescent="0.3">
      <c r="C14" s="1">
        <v>0.15</v>
      </c>
      <c r="D14" t="s">
        <v>206</v>
      </c>
    </row>
    <row r="15" spans="1:8" x14ac:dyDescent="0.3">
      <c r="C15" s="1">
        <v>0.05</v>
      </c>
      <c r="D15" t="s">
        <v>205</v>
      </c>
    </row>
    <row r="16" spans="1:8" x14ac:dyDescent="0.3">
      <c r="C16" s="1">
        <v>0</v>
      </c>
      <c r="D16" t="s">
        <v>204</v>
      </c>
    </row>
    <row r="17" spans="1:13" x14ac:dyDescent="0.3">
      <c r="D17" t="s">
        <v>203</v>
      </c>
    </row>
    <row r="18" spans="1:13" x14ac:dyDescent="0.3">
      <c r="C18" s="1">
        <v>0.65</v>
      </c>
      <c r="D18" t="s">
        <v>202</v>
      </c>
    </row>
    <row r="21" spans="1:13" ht="15" thickBot="1" x14ac:dyDescent="0.35"/>
    <row r="22" spans="1:13" ht="15" thickBot="1" x14ac:dyDescent="0.35">
      <c r="C22" s="399" t="s">
        <v>10</v>
      </c>
      <c r="D22" s="400"/>
      <c r="E22" s="400"/>
      <c r="F22" s="400"/>
      <c r="G22" s="401"/>
      <c r="I22" s="399" t="s">
        <v>0</v>
      </c>
      <c r="J22" s="400"/>
      <c r="K22" s="400"/>
      <c r="L22" s="400"/>
      <c r="M22" s="401"/>
    </row>
    <row r="24" spans="1:13" s="2" customFormat="1" x14ac:dyDescent="0.3">
      <c r="A24" s="2" t="s">
        <v>201</v>
      </c>
    </row>
    <row r="25" spans="1:13" ht="28.8" x14ac:dyDescent="0.3">
      <c r="B25" s="64" t="s">
        <v>189</v>
      </c>
      <c r="C25" s="64" t="s">
        <v>146</v>
      </c>
      <c r="D25" s="64" t="s">
        <v>200</v>
      </c>
      <c r="E25" s="64" t="s">
        <v>5</v>
      </c>
      <c r="F25" s="64" t="s">
        <v>199</v>
      </c>
      <c r="G25" s="64" t="s">
        <v>198</v>
      </c>
    </row>
    <row r="26" spans="1:13" x14ac:dyDescent="0.3">
      <c r="B26">
        <v>1</v>
      </c>
      <c r="C26">
        <v>80</v>
      </c>
      <c r="D26" s="63">
        <v>95</v>
      </c>
      <c r="E26" s="1">
        <v>0.2</v>
      </c>
      <c r="F26" s="63">
        <v>1644.73</v>
      </c>
      <c r="G26">
        <v>7.6999999999999999E-2</v>
      </c>
    </row>
    <row r="27" spans="1:13" x14ac:dyDescent="0.3">
      <c r="B27">
        <v>2</v>
      </c>
      <c r="C27">
        <v>81</v>
      </c>
      <c r="D27" s="63">
        <v>104.37</v>
      </c>
      <c r="E27" s="1">
        <v>0.15</v>
      </c>
      <c r="F27" s="63">
        <v>1707.43</v>
      </c>
      <c r="G27">
        <v>0.08</v>
      </c>
    </row>
    <row r="28" spans="1:13" x14ac:dyDescent="0.3">
      <c r="B28">
        <v>3</v>
      </c>
      <c r="C28">
        <v>82</v>
      </c>
      <c r="D28" s="63">
        <v>114.94</v>
      </c>
      <c r="E28" s="1">
        <v>0.15</v>
      </c>
      <c r="F28" s="63">
        <v>1726.77</v>
      </c>
      <c r="G28">
        <v>8.2000000000000003E-2</v>
      </c>
    </row>
    <row r="29" spans="1:13" x14ac:dyDescent="0.3">
      <c r="B29">
        <v>4</v>
      </c>
      <c r="C29">
        <v>83</v>
      </c>
      <c r="D29" s="63">
        <v>126.66</v>
      </c>
      <c r="E29" s="1">
        <v>0.15</v>
      </c>
      <c r="F29" s="63">
        <v>1745.3</v>
      </c>
      <c r="G29">
        <v>8.4000000000000005E-2</v>
      </c>
    </row>
    <row r="30" spans="1:13" x14ac:dyDescent="0.3">
      <c r="B30">
        <v>5</v>
      </c>
      <c r="C30">
        <v>84</v>
      </c>
      <c r="D30" s="63">
        <v>139.30000000000001</v>
      </c>
      <c r="E30" s="1">
        <v>0.15</v>
      </c>
      <c r="F30" s="63">
        <v>1801.06</v>
      </c>
      <c r="G30">
        <v>8.5999999999999993E-2</v>
      </c>
    </row>
    <row r="31" spans="1:13" x14ac:dyDescent="0.3">
      <c r="B31">
        <v>6</v>
      </c>
      <c r="C31">
        <v>85</v>
      </c>
      <c r="D31" s="63">
        <v>152.57</v>
      </c>
      <c r="E31" s="1">
        <v>0.1</v>
      </c>
      <c r="F31" s="63">
        <v>1819.93</v>
      </c>
      <c r="G31">
        <v>8.8999999999999996E-2</v>
      </c>
    </row>
    <row r="32" spans="1:13" x14ac:dyDescent="0.3">
      <c r="B32">
        <v>7</v>
      </c>
      <c r="C32">
        <v>86</v>
      </c>
      <c r="D32" s="63">
        <v>166.3</v>
      </c>
      <c r="E32" s="1">
        <v>0.1</v>
      </c>
      <c r="F32" s="63">
        <v>1839.58</v>
      </c>
      <c r="G32">
        <v>9.0999999999999998E-2</v>
      </c>
    </row>
    <row r="33" spans="2:7" x14ac:dyDescent="0.3">
      <c r="B33">
        <v>8</v>
      </c>
      <c r="C33">
        <v>87</v>
      </c>
      <c r="D33" s="63">
        <v>180.28</v>
      </c>
      <c r="E33" s="1">
        <v>0.1</v>
      </c>
      <c r="F33" s="63">
        <v>1859.29</v>
      </c>
      <c r="G33">
        <v>9.2999999999999999E-2</v>
      </c>
    </row>
    <row r="34" spans="2:7" x14ac:dyDescent="0.3">
      <c r="B34">
        <v>9</v>
      </c>
      <c r="C34">
        <v>88</v>
      </c>
      <c r="D34" s="63">
        <v>195.82</v>
      </c>
      <c r="E34" s="1">
        <v>0.1</v>
      </c>
      <c r="F34" s="63">
        <v>1879.49</v>
      </c>
      <c r="G34">
        <v>9.6000000000000002E-2</v>
      </c>
    </row>
    <row r="35" spans="2:7" x14ac:dyDescent="0.3">
      <c r="B35">
        <v>10</v>
      </c>
      <c r="C35">
        <v>89</v>
      </c>
      <c r="D35" s="63">
        <v>214.77</v>
      </c>
      <c r="E35" s="1">
        <v>0.1</v>
      </c>
      <c r="F35" s="63">
        <v>1899.91</v>
      </c>
      <c r="G35">
        <v>9.6000000000000002E-2</v>
      </c>
    </row>
    <row r="36" spans="2:7" x14ac:dyDescent="0.3">
      <c r="B36">
        <v>11</v>
      </c>
      <c r="C36">
        <v>90</v>
      </c>
      <c r="D36" s="63">
        <v>240.12</v>
      </c>
      <c r="E36" s="1">
        <v>0.1</v>
      </c>
      <c r="F36" s="63">
        <v>1921.29</v>
      </c>
      <c r="G36">
        <v>9.6000000000000002E-2</v>
      </c>
    </row>
    <row r="37" spans="2:7" x14ac:dyDescent="0.3">
      <c r="B37">
        <v>12</v>
      </c>
      <c r="C37">
        <v>91</v>
      </c>
      <c r="D37" s="63">
        <v>279.05</v>
      </c>
      <c r="E37" s="1">
        <v>0.1</v>
      </c>
      <c r="F37" s="63">
        <v>1942.91</v>
      </c>
      <c r="G37">
        <v>9.6000000000000002E-2</v>
      </c>
    </row>
    <row r="38" spans="2:7" x14ac:dyDescent="0.3">
      <c r="B38">
        <v>13</v>
      </c>
      <c r="C38">
        <v>92</v>
      </c>
      <c r="D38" s="63">
        <v>349.97</v>
      </c>
      <c r="E38" s="1">
        <v>0.08</v>
      </c>
      <c r="F38" s="63">
        <v>1965.11</v>
      </c>
      <c r="G38">
        <v>9.6000000000000002E-2</v>
      </c>
    </row>
    <row r="39" spans="2:7" x14ac:dyDescent="0.3">
      <c r="B39">
        <v>14</v>
      </c>
      <c r="C39">
        <v>93</v>
      </c>
      <c r="D39" s="63">
        <v>470.08</v>
      </c>
      <c r="E39" s="1">
        <v>0.08</v>
      </c>
      <c r="F39" s="63">
        <v>1987.33</v>
      </c>
      <c r="G39">
        <v>9.6000000000000002E-2</v>
      </c>
    </row>
    <row r="40" spans="2:7" x14ac:dyDescent="0.3">
      <c r="B40">
        <v>15</v>
      </c>
      <c r="C40">
        <v>94</v>
      </c>
      <c r="D40" s="63">
        <v>670</v>
      </c>
      <c r="E40" s="1">
        <v>0.08</v>
      </c>
      <c r="F40" s="63">
        <v>2010.48</v>
      </c>
      <c r="G40">
        <v>9.6000000000000002E-2</v>
      </c>
    </row>
    <row r="41" spans="2:7" x14ac:dyDescent="0.3">
      <c r="B41">
        <v>16</v>
      </c>
      <c r="C41">
        <v>95</v>
      </c>
      <c r="D41" s="63">
        <v>1000</v>
      </c>
      <c r="E41" s="1">
        <v>0.08</v>
      </c>
      <c r="F41" s="63">
        <v>2034.17</v>
      </c>
      <c r="G41">
        <v>9.6000000000000002E-2</v>
      </c>
    </row>
    <row r="50" spans="1:1" s="2" customFormat="1" x14ac:dyDescent="0.3">
      <c r="A50" s="2" t="s">
        <v>197</v>
      </c>
    </row>
  </sheetData>
  <mergeCells count="3">
    <mergeCell ref="C10:F10"/>
    <mergeCell ref="C22:G22"/>
    <mergeCell ref="I22:M22"/>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BF04-8CA4-47A8-8BD8-EB65274DE63A}">
  <sheetPr>
    <tabColor theme="9" tint="0.59999389629810485"/>
  </sheetPr>
  <dimension ref="A1:AD80"/>
  <sheetViews>
    <sheetView topLeftCell="A6" workbookViewId="0">
      <selection activeCell="O51" sqref="O51"/>
    </sheetView>
  </sheetViews>
  <sheetFormatPr defaultRowHeight="14.4" x14ac:dyDescent="0.3"/>
  <cols>
    <col min="4" max="4" width="17.33203125" customWidth="1"/>
    <col min="6" max="6" width="10.33203125" customWidth="1"/>
    <col min="7" max="7" width="11.6640625" customWidth="1"/>
    <col min="8" max="8" width="12" customWidth="1"/>
    <col min="9" max="9" width="12.109375" customWidth="1"/>
    <col min="10" max="11" width="10.109375" bestFit="1" customWidth="1"/>
    <col min="12" max="12" width="14.88671875" customWidth="1"/>
    <col min="13" max="13" width="7.5546875" customWidth="1"/>
    <col min="14" max="14" width="9.88671875" customWidth="1"/>
    <col min="15" max="15" width="11.33203125" customWidth="1"/>
    <col min="16" max="16" width="9.5546875" bestFit="1" customWidth="1"/>
    <col min="17" max="17" width="10.5546875" customWidth="1"/>
    <col min="20" max="20" width="10.88671875" customWidth="1"/>
  </cols>
  <sheetData>
    <row r="1" spans="1:8" ht="15" thickBot="1" x14ac:dyDescent="0.35">
      <c r="A1" t="s">
        <v>209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0.2</v>
      </c>
      <c r="D12" s="1">
        <v>0.1</v>
      </c>
      <c r="E12" s="1">
        <v>0</v>
      </c>
      <c r="F12" t="s">
        <v>208</v>
      </c>
    </row>
    <row r="13" spans="1:8" x14ac:dyDescent="0.3">
      <c r="C13" s="1">
        <v>-0.03</v>
      </c>
      <c r="D13" t="s">
        <v>207</v>
      </c>
    </row>
    <row r="14" spans="1:8" x14ac:dyDescent="0.3">
      <c r="C14" s="1">
        <v>0.15</v>
      </c>
      <c r="D14" t="s">
        <v>206</v>
      </c>
    </row>
    <row r="15" spans="1:8" x14ac:dyDescent="0.3">
      <c r="C15" s="1">
        <v>0.05</v>
      </c>
      <c r="D15" t="s">
        <v>205</v>
      </c>
    </row>
    <row r="16" spans="1:8" x14ac:dyDescent="0.3">
      <c r="C16" s="1">
        <v>0</v>
      </c>
      <c r="D16" t="s">
        <v>204</v>
      </c>
    </row>
    <row r="17" spans="1:29" x14ac:dyDescent="0.3">
      <c r="D17" t="s">
        <v>203</v>
      </c>
    </row>
    <row r="18" spans="1:29" x14ac:dyDescent="0.3">
      <c r="C18" s="1">
        <v>0.65</v>
      </c>
      <c r="D18" t="s">
        <v>202</v>
      </c>
    </row>
    <row r="21" spans="1:29" ht="15" thickBot="1" x14ac:dyDescent="0.35"/>
    <row r="22" spans="1:29" ht="15" thickBot="1" x14ac:dyDescent="0.35">
      <c r="C22" s="399" t="s">
        <v>10</v>
      </c>
      <c r="D22" s="400"/>
      <c r="E22" s="400"/>
      <c r="F22" s="400"/>
      <c r="G22" s="401"/>
      <c r="I22" s="399" t="s">
        <v>0</v>
      </c>
      <c r="J22" s="400"/>
      <c r="K22" s="400"/>
      <c r="L22" s="400"/>
      <c r="M22" s="401"/>
    </row>
    <row r="23" spans="1:29" ht="15" thickBot="1" x14ac:dyDescent="0.35"/>
    <row r="24" spans="1:29" s="2" customFormat="1" ht="15.6" thickTop="1" thickBot="1" x14ac:dyDescent="0.35">
      <c r="A24" s="2" t="s">
        <v>201</v>
      </c>
      <c r="I24" s="168" t="s">
        <v>595</v>
      </c>
      <c r="J24" s="167"/>
      <c r="K24" s="167"/>
      <c r="L24" s="167"/>
      <c r="M24" s="167"/>
      <c r="N24" s="167"/>
      <c r="O24" s="166"/>
      <c r="Q24" s="169" t="s">
        <v>594</v>
      </c>
      <c r="S24" s="168" t="s">
        <v>593</v>
      </c>
      <c r="T24" s="167"/>
      <c r="U24" s="167"/>
      <c r="V24" s="167"/>
      <c r="W24" s="167"/>
      <c r="X24" s="167"/>
      <c r="Y24" s="166"/>
      <c r="AB24" s="165" t="s">
        <v>13</v>
      </c>
      <c r="AC24" s="164"/>
    </row>
    <row r="25" spans="1:29" ht="29.4" thickTop="1" x14ac:dyDescent="0.3">
      <c r="B25" s="64" t="s">
        <v>189</v>
      </c>
      <c r="C25" s="64" t="s">
        <v>146</v>
      </c>
      <c r="D25" s="64" t="s">
        <v>200</v>
      </c>
      <c r="E25" s="64" t="s">
        <v>5</v>
      </c>
      <c r="F25" s="64" t="s">
        <v>199</v>
      </c>
      <c r="G25" s="64" t="s">
        <v>198</v>
      </c>
      <c r="I25" s="64" t="s">
        <v>592</v>
      </c>
      <c r="J25" s="64" t="s">
        <v>26</v>
      </c>
      <c r="K25" s="64" t="s">
        <v>187</v>
      </c>
      <c r="L25" s="64" t="s">
        <v>591</v>
      </c>
      <c r="M25" s="64"/>
      <c r="N25" s="64" t="s">
        <v>589</v>
      </c>
      <c r="O25" s="64" t="s">
        <v>187</v>
      </c>
      <c r="Q25" s="163"/>
      <c r="R25" s="64"/>
      <c r="S25" s="64" t="s">
        <v>592</v>
      </c>
      <c r="T25" s="64" t="s">
        <v>26</v>
      </c>
      <c r="U25" s="64" t="s">
        <v>591</v>
      </c>
      <c r="V25" s="64" t="s">
        <v>590</v>
      </c>
      <c r="W25" s="64"/>
      <c r="X25" s="64" t="s">
        <v>589</v>
      </c>
      <c r="Y25" s="64" t="s">
        <v>26</v>
      </c>
      <c r="AB25" s="64" t="s">
        <v>581</v>
      </c>
      <c r="AC25" s="64" t="s">
        <v>588</v>
      </c>
    </row>
    <row r="26" spans="1:29" x14ac:dyDescent="0.3">
      <c r="B26">
        <v>1</v>
      </c>
      <c r="C26">
        <v>80</v>
      </c>
      <c r="D26" s="63">
        <v>95</v>
      </c>
      <c r="E26" s="1">
        <v>0.2</v>
      </c>
      <c r="F26" s="63">
        <v>1644.73</v>
      </c>
      <c r="G26">
        <v>7.6999999999999999E-2</v>
      </c>
      <c r="I26" s="122">
        <f t="shared" ref="I26:I41" si="0">(1/(1+$C$15))^(B26-0.5)</f>
        <v>0.9759000729485332</v>
      </c>
      <c r="J26" s="122">
        <v>1</v>
      </c>
      <c r="K26" s="161">
        <f>1000*J26</f>
        <v>1000</v>
      </c>
      <c r="L26" s="36">
        <f t="shared" ref="L26:L41" si="1">F26*(1+G26)*K26*(1+$C$13)</f>
        <v>1718232.9837</v>
      </c>
      <c r="M26" s="162"/>
      <c r="N26" s="122">
        <f t="shared" ref="N26:N41" si="2">(1/(1+$C$15))^(B26-1)</f>
        <v>1</v>
      </c>
      <c r="O26" s="162">
        <f t="shared" ref="O26:O41" si="3">K26</f>
        <v>1000</v>
      </c>
      <c r="S26" s="122">
        <f t="shared" ref="S26:S41" si="4">(1/(1+$C$15))^(B26-0.5)</f>
        <v>0.9759000729485332</v>
      </c>
      <c r="T26" s="122">
        <v>1</v>
      </c>
      <c r="U26" s="36">
        <f t="shared" ref="U26:U41" si="5">F26*(1+G26)*(1+$C$13)</f>
        <v>1718.2329837</v>
      </c>
      <c r="V26" s="36">
        <f t="shared" ref="V26:V41" si="6">S26*T26*U26</f>
        <v>1676.8236941354057</v>
      </c>
      <c r="X26" s="122">
        <f t="shared" ref="X26:X41" si="7">(1/(1+$C$15))^(B26-1)</f>
        <v>1</v>
      </c>
      <c r="Y26" s="122">
        <f t="shared" ref="Y26:Y41" si="8">T26</f>
        <v>1</v>
      </c>
      <c r="AB26" s="36">
        <f t="shared" ref="AB26:AB41" si="9">$Y$45</f>
        <v>2725.5356331373032</v>
      </c>
      <c r="AC26" s="36">
        <f t="shared" ref="AC26:AC41" si="10">AB26*X26*Y26</f>
        <v>2725.5356331373032</v>
      </c>
    </row>
    <row r="27" spans="1:29" x14ac:dyDescent="0.3">
      <c r="B27">
        <v>2</v>
      </c>
      <c r="C27">
        <v>81</v>
      </c>
      <c r="D27" s="63">
        <v>104.37</v>
      </c>
      <c r="E27" s="1">
        <v>0.15</v>
      </c>
      <c r="F27" s="63">
        <v>1707.43</v>
      </c>
      <c r="G27">
        <v>0.08</v>
      </c>
      <c r="I27" s="122">
        <f t="shared" si="0"/>
        <v>0.92942864090336486</v>
      </c>
      <c r="J27" s="122">
        <f t="shared" ref="J27:J41" si="11">J26*(1-D26/1000)*(1-E26)</f>
        <v>0.72400000000000009</v>
      </c>
      <c r="K27" s="162">
        <f t="shared" ref="K27:K41" si="12">J27*1000</f>
        <v>724.00000000000011</v>
      </c>
      <c r="L27" s="36">
        <f t="shared" si="1"/>
        <v>1295021.4556320005</v>
      </c>
      <c r="N27" s="122">
        <f t="shared" si="2"/>
        <v>0.95238095238095233</v>
      </c>
      <c r="O27" s="162">
        <f t="shared" si="3"/>
        <v>724.00000000000011</v>
      </c>
      <c r="S27" s="122">
        <f t="shared" si="4"/>
        <v>0.92942864090336486</v>
      </c>
      <c r="T27" s="122">
        <f t="shared" ref="T27:T41" si="13">T26*(1-D26/1000)*(1-E26)</f>
        <v>0.72400000000000009</v>
      </c>
      <c r="U27" s="36">
        <f t="shared" si="5"/>
        <v>1788.7036680000001</v>
      </c>
      <c r="V27" s="36">
        <f t="shared" si="6"/>
        <v>1203.6300314487473</v>
      </c>
      <c r="X27" s="122">
        <f t="shared" si="7"/>
        <v>0.95238095238095233</v>
      </c>
      <c r="Y27" s="122">
        <f t="shared" si="8"/>
        <v>0.72400000000000009</v>
      </c>
      <c r="AB27" s="36">
        <f t="shared" si="9"/>
        <v>2725.5356331373032</v>
      </c>
      <c r="AC27" s="36">
        <f t="shared" si="10"/>
        <v>1879.3217127537216</v>
      </c>
    </row>
    <row r="28" spans="1:29" x14ac:dyDescent="0.3">
      <c r="B28">
        <v>3</v>
      </c>
      <c r="C28">
        <v>82</v>
      </c>
      <c r="D28" s="63">
        <v>114.94</v>
      </c>
      <c r="E28" s="1">
        <v>0.15</v>
      </c>
      <c r="F28" s="63">
        <v>1726.77</v>
      </c>
      <c r="G28">
        <v>8.2000000000000003E-2</v>
      </c>
      <c r="I28" s="122">
        <f t="shared" si="0"/>
        <v>0.88517013419368074</v>
      </c>
      <c r="J28" s="122">
        <f t="shared" si="11"/>
        <v>0.55117070200000007</v>
      </c>
      <c r="K28" s="162">
        <f t="shared" si="12"/>
        <v>551.17070200000012</v>
      </c>
      <c r="L28" s="36">
        <f t="shared" si="1"/>
        <v>998894.48203194467</v>
      </c>
      <c r="N28" s="122">
        <f t="shared" si="2"/>
        <v>0.90702947845804982</v>
      </c>
      <c r="O28" s="162">
        <f t="shared" si="3"/>
        <v>551.17070200000012</v>
      </c>
      <c r="S28" s="122">
        <f t="shared" si="4"/>
        <v>0.88517013419368074</v>
      </c>
      <c r="T28" s="122">
        <f t="shared" si="13"/>
        <v>0.55117070200000007</v>
      </c>
      <c r="U28" s="36">
        <f t="shared" si="5"/>
        <v>1812.3141858000001</v>
      </c>
      <c r="V28" s="36">
        <f t="shared" si="6"/>
        <v>884.19156270554367</v>
      </c>
      <c r="X28" s="122">
        <f t="shared" si="7"/>
        <v>0.90702947845804982</v>
      </c>
      <c r="Y28" s="122">
        <f t="shared" si="8"/>
        <v>0.55117070200000007</v>
      </c>
      <c r="AB28" s="36">
        <f t="shared" si="9"/>
        <v>2725.5356331373032</v>
      </c>
      <c r="AC28" s="36">
        <f t="shared" si="10"/>
        <v>1362.5717807186413</v>
      </c>
    </row>
    <row r="29" spans="1:29" x14ac:dyDescent="0.3">
      <c r="B29">
        <v>4</v>
      </c>
      <c r="C29">
        <v>83</v>
      </c>
      <c r="D29" s="63">
        <v>126.66</v>
      </c>
      <c r="E29" s="1">
        <v>0.15</v>
      </c>
      <c r="F29" s="63">
        <v>1745.3</v>
      </c>
      <c r="G29">
        <v>8.4000000000000005E-2</v>
      </c>
      <c r="I29" s="122">
        <f t="shared" si="0"/>
        <v>0.84301917542255311</v>
      </c>
      <c r="J29" s="122">
        <f t="shared" si="11"/>
        <v>0.41464627028530199</v>
      </c>
      <c r="K29" s="162">
        <f t="shared" si="12"/>
        <v>414.64627028530197</v>
      </c>
      <c r="L29" s="36">
        <f t="shared" si="1"/>
        <v>760937.29186596721</v>
      </c>
      <c r="N29" s="122">
        <f t="shared" si="2"/>
        <v>0.86383759853147601</v>
      </c>
      <c r="O29" s="162">
        <f t="shared" si="3"/>
        <v>414.64627028530197</v>
      </c>
      <c r="S29" s="122">
        <f t="shared" si="4"/>
        <v>0.84301917542255311</v>
      </c>
      <c r="T29" s="122">
        <f t="shared" si="13"/>
        <v>0.41464627028530199</v>
      </c>
      <c r="U29" s="36">
        <f t="shared" si="5"/>
        <v>1835.148044</v>
      </c>
      <c r="V29" s="36">
        <f t="shared" si="6"/>
        <v>641.48472833711833</v>
      </c>
      <c r="X29" s="122">
        <f t="shared" si="7"/>
        <v>0.86383759853147601</v>
      </c>
      <c r="Y29" s="122">
        <f t="shared" si="8"/>
        <v>0.41464627028530199</v>
      </c>
      <c r="AB29" s="36">
        <f t="shared" si="9"/>
        <v>2725.5356331373032</v>
      </c>
      <c r="AC29" s="36">
        <f t="shared" si="10"/>
        <v>976.25153638706126</v>
      </c>
    </row>
    <row r="30" spans="1:29" x14ac:dyDescent="0.3">
      <c r="B30">
        <v>5</v>
      </c>
      <c r="C30">
        <v>84</v>
      </c>
      <c r="D30" s="63">
        <v>139.30000000000001</v>
      </c>
      <c r="E30" s="1">
        <v>0.15</v>
      </c>
      <c r="F30" s="63">
        <v>1801.06</v>
      </c>
      <c r="G30">
        <v>8.5999999999999993E-2</v>
      </c>
      <c r="I30" s="122">
        <f t="shared" si="0"/>
        <v>0.8028754051643362</v>
      </c>
      <c r="J30" s="122">
        <f t="shared" si="11"/>
        <v>0.30780809763732081</v>
      </c>
      <c r="K30" s="162">
        <f t="shared" si="12"/>
        <v>307.80809763732083</v>
      </c>
      <c r="L30" s="36">
        <f t="shared" si="1"/>
        <v>583995.87746217765</v>
      </c>
      <c r="N30" s="122">
        <f t="shared" si="2"/>
        <v>0.82270247479188185</v>
      </c>
      <c r="O30" s="162">
        <f t="shared" si="3"/>
        <v>307.80809763732083</v>
      </c>
      <c r="S30" s="122">
        <f t="shared" si="4"/>
        <v>0.8028754051643362</v>
      </c>
      <c r="T30" s="122">
        <f t="shared" si="13"/>
        <v>0.30780809763732081</v>
      </c>
      <c r="U30" s="36">
        <f t="shared" si="5"/>
        <v>1897.2726252</v>
      </c>
      <c r="V30" s="36">
        <f t="shared" si="6"/>
        <v>468.87592673174782</v>
      </c>
      <c r="X30" s="122">
        <f t="shared" si="7"/>
        <v>0.82270247479188185</v>
      </c>
      <c r="Y30" s="122">
        <f t="shared" si="8"/>
        <v>0.30780809763732081</v>
      </c>
      <c r="AB30" s="36">
        <f t="shared" si="9"/>
        <v>2725.5356331373032</v>
      </c>
      <c r="AC30" s="36">
        <f t="shared" si="10"/>
        <v>690.19960882860437</v>
      </c>
    </row>
    <row r="31" spans="1:29" x14ac:dyDescent="0.3">
      <c r="B31">
        <v>6</v>
      </c>
      <c r="C31">
        <v>85</v>
      </c>
      <c r="D31" s="63">
        <v>152.57</v>
      </c>
      <c r="E31" s="1">
        <v>0.1</v>
      </c>
      <c r="F31" s="63">
        <v>1819.93</v>
      </c>
      <c r="G31">
        <v>8.8999999999999996E-2</v>
      </c>
      <c r="I31" s="122">
        <f t="shared" si="0"/>
        <v>0.7646432430136535</v>
      </c>
      <c r="J31" s="122">
        <f t="shared" si="11"/>
        <v>0.22519086519097573</v>
      </c>
      <c r="K31" s="162">
        <f t="shared" si="12"/>
        <v>225.19086519097573</v>
      </c>
      <c r="L31" s="36">
        <f t="shared" si="1"/>
        <v>432917.42595080991</v>
      </c>
      <c r="N31" s="122">
        <f t="shared" si="2"/>
        <v>0.78352616646845885</v>
      </c>
      <c r="O31" s="162">
        <f t="shared" si="3"/>
        <v>225.19086519097573</v>
      </c>
      <c r="S31" s="122">
        <f t="shared" si="4"/>
        <v>0.7646432430136535</v>
      </c>
      <c r="T31" s="122">
        <f t="shared" si="13"/>
        <v>0.22519086519097573</v>
      </c>
      <c r="U31" s="36">
        <f t="shared" si="5"/>
        <v>1922.4466569000001</v>
      </c>
      <c r="V31" s="36">
        <f t="shared" si="6"/>
        <v>331.02738453615046</v>
      </c>
      <c r="X31" s="122">
        <f t="shared" si="7"/>
        <v>0.78352616646845885</v>
      </c>
      <c r="Y31" s="122">
        <f t="shared" si="8"/>
        <v>0.22519086519097573</v>
      </c>
      <c r="AB31" s="36">
        <f t="shared" si="9"/>
        <v>2725.5356331373032</v>
      </c>
      <c r="AC31" s="36">
        <f t="shared" si="10"/>
        <v>480.90150744853605</v>
      </c>
    </row>
    <row r="32" spans="1:29" x14ac:dyDescent="0.3">
      <c r="B32">
        <v>7</v>
      </c>
      <c r="C32">
        <v>86</v>
      </c>
      <c r="D32" s="63">
        <v>166.3</v>
      </c>
      <c r="E32" s="1">
        <v>0.1</v>
      </c>
      <c r="F32" s="63">
        <v>1839.58</v>
      </c>
      <c r="G32">
        <v>9.0999999999999998E-2</v>
      </c>
      <c r="I32" s="122">
        <f t="shared" si="0"/>
        <v>0.72823166001300332</v>
      </c>
      <c r="J32" s="122">
        <f t="shared" si="11"/>
        <v>0.17175014539990971</v>
      </c>
      <c r="K32" s="162">
        <f t="shared" si="12"/>
        <v>171.75014539990971</v>
      </c>
      <c r="L32" s="36">
        <f t="shared" si="1"/>
        <v>334358.43015407049</v>
      </c>
      <c r="N32" s="122">
        <f t="shared" si="2"/>
        <v>0.7462153966366275</v>
      </c>
      <c r="O32" s="162">
        <f t="shared" si="3"/>
        <v>171.75014539990971</v>
      </c>
      <c r="S32" s="122">
        <f t="shared" si="4"/>
        <v>0.72823166001300332</v>
      </c>
      <c r="T32" s="122">
        <f t="shared" si="13"/>
        <v>0.17175014539990971</v>
      </c>
      <c r="U32" s="36">
        <f t="shared" si="5"/>
        <v>1946.7723265999998</v>
      </c>
      <c r="V32" s="36">
        <f t="shared" si="6"/>
        <v>243.49039463044059</v>
      </c>
      <c r="X32" s="122">
        <f t="shared" si="7"/>
        <v>0.7462153966366275</v>
      </c>
      <c r="Y32" s="122">
        <f t="shared" si="8"/>
        <v>0.17175014539990971</v>
      </c>
      <c r="AB32" s="36">
        <f t="shared" si="9"/>
        <v>2725.5356331373032</v>
      </c>
      <c r="AC32" s="36">
        <f t="shared" si="10"/>
        <v>349.31174096323969</v>
      </c>
    </row>
    <row r="33" spans="2:30" x14ac:dyDescent="0.3">
      <c r="B33">
        <v>8</v>
      </c>
      <c r="C33">
        <v>87</v>
      </c>
      <c r="D33" s="63">
        <v>180.28</v>
      </c>
      <c r="E33" s="1">
        <v>0.1</v>
      </c>
      <c r="F33" s="63">
        <v>1859.29</v>
      </c>
      <c r="G33">
        <v>9.2999999999999999E-2</v>
      </c>
      <c r="I33" s="122">
        <f t="shared" si="0"/>
        <v>0.69355396191714591</v>
      </c>
      <c r="J33" s="122">
        <f t="shared" si="11"/>
        <v>0.12886928659791425</v>
      </c>
      <c r="K33" s="162">
        <f t="shared" si="12"/>
        <v>128.86928659791425</v>
      </c>
      <c r="L33" s="36">
        <f t="shared" si="1"/>
        <v>254032.01556028862</v>
      </c>
      <c r="N33" s="122">
        <f t="shared" si="2"/>
        <v>0.71068133013012136</v>
      </c>
      <c r="O33" s="162">
        <f t="shared" si="3"/>
        <v>128.86928659791425</v>
      </c>
      <c r="S33" s="122">
        <f t="shared" si="4"/>
        <v>0.69355396191714591</v>
      </c>
      <c r="T33" s="122">
        <f t="shared" si="13"/>
        <v>0.12886928659791425</v>
      </c>
      <c r="U33" s="36">
        <f t="shared" si="5"/>
        <v>1971.2378508999998</v>
      </c>
      <c r="V33" s="36">
        <f t="shared" si="6"/>
        <v>176.18491084563624</v>
      </c>
      <c r="X33" s="122">
        <f t="shared" si="7"/>
        <v>0.71068133013012136</v>
      </c>
      <c r="Y33" s="122">
        <f t="shared" si="8"/>
        <v>0.12886928659791425</v>
      </c>
      <c r="AB33" s="36">
        <f t="shared" si="9"/>
        <v>2725.5356331373032</v>
      </c>
      <c r="AC33" s="36">
        <f t="shared" si="10"/>
        <v>249.61817009233104</v>
      </c>
    </row>
    <row r="34" spans="2:30" x14ac:dyDescent="0.3">
      <c r="B34">
        <v>9</v>
      </c>
      <c r="C34">
        <v>88</v>
      </c>
      <c r="D34" s="63">
        <v>195.82</v>
      </c>
      <c r="E34" s="1">
        <v>0.1</v>
      </c>
      <c r="F34" s="63">
        <v>1879.49</v>
      </c>
      <c r="G34">
        <v>9.6000000000000002E-2</v>
      </c>
      <c r="I34" s="122">
        <f t="shared" si="0"/>
        <v>0.6605275827782342</v>
      </c>
      <c r="J34" s="122">
        <f t="shared" si="11"/>
        <v>9.5073058449038045E-2</v>
      </c>
      <c r="K34" s="162">
        <f t="shared" si="12"/>
        <v>95.073058449038044</v>
      </c>
      <c r="L34" s="36">
        <f t="shared" si="1"/>
        <v>189967.70363323356</v>
      </c>
      <c r="N34" s="122">
        <f t="shared" si="2"/>
        <v>0.676839362028687</v>
      </c>
      <c r="O34" s="162">
        <f t="shared" si="3"/>
        <v>95.073058449038044</v>
      </c>
      <c r="S34" s="122">
        <f t="shared" si="4"/>
        <v>0.6605275827782342</v>
      </c>
      <c r="T34" s="122">
        <f t="shared" si="13"/>
        <v>9.5073058449038045E-2</v>
      </c>
      <c r="U34" s="36">
        <f t="shared" si="5"/>
        <v>1998.1234088000001</v>
      </c>
      <c r="V34" s="36">
        <f t="shared" si="6"/>
        <v>125.47890808679172</v>
      </c>
      <c r="X34" s="122">
        <f t="shared" si="7"/>
        <v>0.676839362028687</v>
      </c>
      <c r="Y34" s="122">
        <f t="shared" si="8"/>
        <v>9.5073058449038045E-2</v>
      </c>
      <c r="AB34" s="36">
        <f t="shared" si="9"/>
        <v>2725.5356331373032</v>
      </c>
      <c r="AC34" s="36">
        <f t="shared" si="10"/>
        <v>175.38600547550195</v>
      </c>
    </row>
    <row r="35" spans="2:30" x14ac:dyDescent="0.3">
      <c r="B35">
        <v>10</v>
      </c>
      <c r="C35">
        <v>89</v>
      </c>
      <c r="D35" s="63">
        <v>214.77</v>
      </c>
      <c r="E35" s="1">
        <v>0.1</v>
      </c>
      <c r="F35" s="63">
        <v>1899.91</v>
      </c>
      <c r="G35">
        <v>9.6000000000000002E-2</v>
      </c>
      <c r="I35" s="122">
        <f t="shared" si="0"/>
        <v>0.62907388836022304</v>
      </c>
      <c r="J35" s="122">
        <f t="shared" si="11"/>
        <v>6.8810266929192676E-2</v>
      </c>
      <c r="K35" s="162">
        <f t="shared" si="12"/>
        <v>68.810266929192679</v>
      </c>
      <c r="L35" s="36">
        <f t="shared" si="1"/>
        <v>138985.20103636233</v>
      </c>
      <c r="N35" s="122">
        <f t="shared" si="2"/>
        <v>0.64460891621779715</v>
      </c>
      <c r="O35" s="162">
        <f t="shared" si="3"/>
        <v>68.810266929192679</v>
      </c>
      <c r="S35" s="122">
        <f t="shared" si="4"/>
        <v>0.62907388836022304</v>
      </c>
      <c r="T35" s="122">
        <f t="shared" si="13"/>
        <v>6.8810266929192676E-2</v>
      </c>
      <c r="U35" s="36">
        <f t="shared" si="5"/>
        <v>2019.8323192000003</v>
      </c>
      <c r="V35" s="36">
        <f t="shared" si="6"/>
        <v>87.431960840471746</v>
      </c>
      <c r="X35" s="122">
        <f t="shared" si="7"/>
        <v>0.64460891621779715</v>
      </c>
      <c r="Y35" s="122">
        <f t="shared" si="8"/>
        <v>6.8810266929192676E-2</v>
      </c>
      <c r="AB35" s="36">
        <f t="shared" si="9"/>
        <v>2725.5356331373032</v>
      </c>
      <c r="AC35" s="36">
        <f t="shared" si="10"/>
        <v>120.89307247139071</v>
      </c>
    </row>
    <row r="36" spans="2:30" x14ac:dyDescent="0.3">
      <c r="B36">
        <v>11</v>
      </c>
      <c r="C36">
        <v>90</v>
      </c>
      <c r="D36" s="63">
        <v>240.12</v>
      </c>
      <c r="E36" s="1">
        <v>0.1</v>
      </c>
      <c r="F36" s="63">
        <v>1921.29</v>
      </c>
      <c r="G36">
        <v>9.6000000000000002E-2</v>
      </c>
      <c r="I36" s="122">
        <f t="shared" si="0"/>
        <v>0.59911798891449808</v>
      </c>
      <c r="J36" s="122">
        <f t="shared" si="11"/>
        <v>4.8628697310728969E-2</v>
      </c>
      <c r="K36" s="162">
        <f t="shared" si="12"/>
        <v>48.628697310728967</v>
      </c>
      <c r="L36" s="36">
        <f t="shared" si="1"/>
        <v>99327.120716649428</v>
      </c>
      <c r="N36" s="122">
        <f t="shared" si="2"/>
        <v>0.6139132535407591</v>
      </c>
      <c r="O36" s="162">
        <f t="shared" si="3"/>
        <v>48.628697310728967</v>
      </c>
      <c r="S36" s="122">
        <f t="shared" si="4"/>
        <v>0.59911798891449808</v>
      </c>
      <c r="T36" s="122">
        <f t="shared" si="13"/>
        <v>4.8628697310728969E-2</v>
      </c>
      <c r="U36" s="36">
        <f t="shared" si="5"/>
        <v>2042.5618248000003</v>
      </c>
      <c r="V36" s="36">
        <f t="shared" si="6"/>
        <v>59.508664808426587</v>
      </c>
      <c r="X36" s="122">
        <f t="shared" si="7"/>
        <v>0.6139132535407591</v>
      </c>
      <c r="Y36" s="122">
        <f t="shared" si="8"/>
        <v>4.8628697310728969E-2</v>
      </c>
      <c r="AB36" s="36">
        <f t="shared" si="9"/>
        <v>2725.5356331373032</v>
      </c>
      <c r="AC36" s="36">
        <f t="shared" si="10"/>
        <v>81.367600540037245</v>
      </c>
    </row>
    <row r="37" spans="2:30" x14ac:dyDescent="0.3">
      <c r="B37">
        <v>12</v>
      </c>
      <c r="C37">
        <v>91</v>
      </c>
      <c r="D37" s="63">
        <v>279.05</v>
      </c>
      <c r="E37" s="1">
        <v>0.1</v>
      </c>
      <c r="F37" s="63">
        <v>1942.91</v>
      </c>
      <c r="G37">
        <v>9.6000000000000002E-2</v>
      </c>
      <c r="I37" s="122">
        <f t="shared" si="0"/>
        <v>0.57058856087095056</v>
      </c>
      <c r="J37" s="122">
        <f t="shared" si="11"/>
        <v>3.3256777061229058E-2</v>
      </c>
      <c r="K37" s="162">
        <f t="shared" si="12"/>
        <v>33.256777061229059</v>
      </c>
      <c r="L37" s="36">
        <f t="shared" si="1"/>
        <v>68693.418768361007</v>
      </c>
      <c r="N37" s="122">
        <f t="shared" si="2"/>
        <v>0.58467928908643729</v>
      </c>
      <c r="O37" s="162">
        <f t="shared" si="3"/>
        <v>33.256777061229059</v>
      </c>
      <c r="S37" s="122">
        <f t="shared" si="4"/>
        <v>0.57058856087095056</v>
      </c>
      <c r="T37" s="122">
        <f t="shared" si="13"/>
        <v>3.3256777061229058E-2</v>
      </c>
      <c r="U37" s="36">
        <f t="shared" si="5"/>
        <v>2065.5464792000002</v>
      </c>
      <c r="V37" s="36">
        <f t="shared" si="6"/>
        <v>39.195678956344651</v>
      </c>
      <c r="X37" s="122">
        <f t="shared" si="7"/>
        <v>0.58467928908643729</v>
      </c>
      <c r="Y37" s="122">
        <f t="shared" si="8"/>
        <v>3.3256777061229058E-2</v>
      </c>
      <c r="AB37" s="36">
        <f t="shared" si="9"/>
        <v>2725.5356331373032</v>
      </c>
      <c r="AC37" s="36">
        <f t="shared" si="10"/>
        <v>52.99681054145443</v>
      </c>
    </row>
    <row r="38" spans="2:30" x14ac:dyDescent="0.3">
      <c r="B38">
        <v>13</v>
      </c>
      <c r="C38">
        <v>92</v>
      </c>
      <c r="D38" s="63">
        <v>349.97</v>
      </c>
      <c r="E38" s="1">
        <v>0.08</v>
      </c>
      <c r="F38" s="63">
        <v>1965.11</v>
      </c>
      <c r="G38">
        <v>9.6000000000000002E-2</v>
      </c>
      <c r="I38" s="122">
        <f t="shared" si="0"/>
        <v>0.54341767701995292</v>
      </c>
      <c r="J38" s="122">
        <f t="shared" si="11"/>
        <v>2.1578826080063781E-2</v>
      </c>
      <c r="K38" s="162">
        <f t="shared" si="12"/>
        <v>21.578826080063781</v>
      </c>
      <c r="L38" s="36">
        <f t="shared" si="1"/>
        <v>45081.355806070547</v>
      </c>
      <c r="N38" s="122">
        <f t="shared" si="2"/>
        <v>0.55683741817755927</v>
      </c>
      <c r="O38" s="162">
        <f t="shared" si="3"/>
        <v>21.578826080063781</v>
      </c>
      <c r="S38" s="122">
        <f t="shared" si="4"/>
        <v>0.54341767701995292</v>
      </c>
      <c r="T38" s="122">
        <f t="shared" si="13"/>
        <v>2.1578826080063781E-2</v>
      </c>
      <c r="U38" s="36">
        <f t="shared" si="5"/>
        <v>2089.1477432000001</v>
      </c>
      <c r="V38" s="36">
        <f t="shared" si="6"/>
        <v>24.498005649044824</v>
      </c>
      <c r="X38" s="122">
        <f t="shared" si="7"/>
        <v>0.55683741817755927</v>
      </c>
      <c r="Y38" s="122">
        <f t="shared" si="8"/>
        <v>2.1578826080063781E-2</v>
      </c>
      <c r="AB38" s="36">
        <f t="shared" si="9"/>
        <v>2725.5356331373032</v>
      </c>
      <c r="AC38" s="36">
        <f t="shared" si="10"/>
        <v>32.749757622738493</v>
      </c>
    </row>
    <row r="39" spans="2:30" x14ac:dyDescent="0.3">
      <c r="B39">
        <v>14</v>
      </c>
      <c r="C39">
        <v>93</v>
      </c>
      <c r="D39" s="63">
        <v>470.08</v>
      </c>
      <c r="E39" s="1">
        <v>0.08</v>
      </c>
      <c r="F39" s="63">
        <v>1987.33</v>
      </c>
      <c r="G39">
        <v>9.6000000000000002E-2</v>
      </c>
      <c r="I39" s="122">
        <f t="shared" si="0"/>
        <v>0.51754064478090744</v>
      </c>
      <c r="J39" s="122">
        <f t="shared" si="11"/>
        <v>1.290473357147795E-2</v>
      </c>
      <c r="K39" s="162">
        <f t="shared" si="12"/>
        <v>12.90473357147795</v>
      </c>
      <c r="L39" s="36">
        <f t="shared" si="1"/>
        <v>27264.737426927637</v>
      </c>
      <c r="N39" s="122">
        <f t="shared" si="2"/>
        <v>0.53032135064529451</v>
      </c>
      <c r="O39" s="162">
        <f t="shared" si="3"/>
        <v>12.90473357147795</v>
      </c>
      <c r="S39" s="122">
        <f t="shared" si="4"/>
        <v>0.51754064478090744</v>
      </c>
      <c r="T39" s="122">
        <f t="shared" si="13"/>
        <v>1.290473357147795E-2</v>
      </c>
      <c r="U39" s="36">
        <f t="shared" si="5"/>
        <v>2112.7702695999997</v>
      </c>
      <c r="V39" s="36">
        <f t="shared" si="6"/>
        <v>14.110609787714267</v>
      </c>
      <c r="X39" s="122">
        <f t="shared" si="7"/>
        <v>0.53032135064529451</v>
      </c>
      <c r="Y39" s="122">
        <f t="shared" si="8"/>
        <v>1.290473357147795E-2</v>
      </c>
      <c r="AB39" s="36">
        <f t="shared" si="9"/>
        <v>2725.5356331373032</v>
      </c>
      <c r="AC39" s="36">
        <f t="shared" si="10"/>
        <v>18.652627573055241</v>
      </c>
    </row>
    <row r="40" spans="2:30" x14ac:dyDescent="0.3">
      <c r="B40">
        <v>15</v>
      </c>
      <c r="C40">
        <v>94</v>
      </c>
      <c r="D40" s="63">
        <v>670</v>
      </c>
      <c r="E40" s="1">
        <v>0.08</v>
      </c>
      <c r="F40" s="63">
        <v>2010.48</v>
      </c>
      <c r="G40">
        <v>9.6000000000000002E-2</v>
      </c>
      <c r="I40" s="122">
        <f t="shared" si="0"/>
        <v>0.49289585217229281</v>
      </c>
      <c r="J40" s="122">
        <f t="shared" si="11"/>
        <v>6.2913983010617867E-3</v>
      </c>
      <c r="K40" s="162">
        <f t="shared" si="12"/>
        <v>6.2913983010617871</v>
      </c>
      <c r="L40" s="36">
        <f t="shared" si="1"/>
        <v>13447.118322721537</v>
      </c>
      <c r="N40" s="122">
        <f t="shared" si="2"/>
        <v>0.50506795299551854</v>
      </c>
      <c r="O40" s="162">
        <f t="shared" si="3"/>
        <v>6.2913983010617871</v>
      </c>
      <c r="S40" s="122">
        <f t="shared" si="4"/>
        <v>0.49289585217229281</v>
      </c>
      <c r="T40" s="122">
        <f t="shared" si="13"/>
        <v>6.2913983010617867E-3</v>
      </c>
      <c r="U40" s="36">
        <f t="shared" si="5"/>
        <v>2137.3814975999999</v>
      </c>
      <c r="V40" s="36">
        <f t="shared" si="6"/>
        <v>6.6280288449394842</v>
      </c>
      <c r="X40" s="122">
        <f t="shared" si="7"/>
        <v>0.50506795299551854</v>
      </c>
      <c r="Y40" s="122">
        <f t="shared" si="8"/>
        <v>6.2913983010617867E-3</v>
      </c>
      <c r="AB40" s="36">
        <f t="shared" si="9"/>
        <v>2725.5356331373032</v>
      </c>
      <c r="AC40" s="36">
        <f t="shared" si="10"/>
        <v>8.660617496411767</v>
      </c>
    </row>
    <row r="41" spans="2:30" x14ac:dyDescent="0.3">
      <c r="B41">
        <v>16</v>
      </c>
      <c r="C41">
        <v>95</v>
      </c>
      <c r="D41" s="63">
        <v>1000</v>
      </c>
      <c r="E41" s="1">
        <v>0.08</v>
      </c>
      <c r="F41" s="63">
        <v>2034.17</v>
      </c>
      <c r="G41">
        <v>9.6000000000000002E-2</v>
      </c>
      <c r="I41" s="122">
        <f t="shared" si="0"/>
        <v>0.46942462111646932</v>
      </c>
      <c r="J41" s="122">
        <f t="shared" si="11"/>
        <v>1.9100685242023584E-3</v>
      </c>
      <c r="K41" s="162">
        <f t="shared" si="12"/>
        <v>1.9100685242023583</v>
      </c>
      <c r="L41" s="36">
        <f t="shared" si="1"/>
        <v>4130.6507960297295</v>
      </c>
      <c r="N41" s="122">
        <f t="shared" si="2"/>
        <v>0.48101709809097004</v>
      </c>
      <c r="O41" s="162">
        <f t="shared" si="3"/>
        <v>1.9100685242023583</v>
      </c>
      <c r="S41" s="122">
        <f t="shared" si="4"/>
        <v>0.46942462111646932</v>
      </c>
      <c r="T41" s="122">
        <f t="shared" si="13"/>
        <v>1.9100685242023584E-3</v>
      </c>
      <c r="U41" s="36">
        <f t="shared" si="5"/>
        <v>2162.5668104000001</v>
      </c>
      <c r="V41" s="36">
        <f t="shared" si="6"/>
        <v>1.9390291848906982</v>
      </c>
      <c r="X41" s="122">
        <f t="shared" si="7"/>
        <v>0.48101709809097004</v>
      </c>
      <c r="Y41" s="122">
        <f t="shared" si="8"/>
        <v>1.9100685242023584E-3</v>
      </c>
      <c r="AB41" s="36">
        <f t="shared" si="9"/>
        <v>2725.5356331373032</v>
      </c>
      <c r="AC41" s="36">
        <f t="shared" si="10"/>
        <v>2.5041556875339168</v>
      </c>
    </row>
    <row r="43" spans="2:30" x14ac:dyDescent="0.3">
      <c r="K43" s="162"/>
      <c r="L43" s="162">
        <f>SUMPRODUCT(L26:L41,I26:I41)</f>
        <v>5984499.5195294162</v>
      </c>
      <c r="M43" t="s">
        <v>587</v>
      </c>
      <c r="O43" s="162">
        <f>SUMPRODUCT(O26:O41,N26:N41)</f>
        <v>3378.0231033485629</v>
      </c>
      <c r="P43" t="s">
        <v>586</v>
      </c>
      <c r="U43" s="35" t="s">
        <v>585</v>
      </c>
      <c r="V43" s="36">
        <f>SUM(V26:V41)</f>
        <v>5984.499519529415</v>
      </c>
      <c r="Y43" s="122">
        <f>SUMPRODUCT(X26:X41,Y26:Y41)</f>
        <v>3.3780231033485624</v>
      </c>
      <c r="Z43" t="s">
        <v>584</v>
      </c>
      <c r="AC43" s="36">
        <f>SUM(AC26:AC41)</f>
        <v>9206.922337737562</v>
      </c>
    </row>
    <row r="44" spans="2:30" ht="15" thickBot="1" x14ac:dyDescent="0.35"/>
    <row r="45" spans="2:30" ht="15.6" thickTop="1" thickBot="1" x14ac:dyDescent="0.35">
      <c r="O45" s="161">
        <f>L43/O43</f>
        <v>1771.598161539247</v>
      </c>
      <c r="P45" t="s">
        <v>583</v>
      </c>
      <c r="U45" s="35" t="s">
        <v>582</v>
      </c>
      <c r="V45" s="36">
        <f>V43/C18</f>
        <v>9206.922337737562</v>
      </c>
      <c r="Y45" s="4">
        <f>V45/Y43</f>
        <v>2725.5356331373032</v>
      </c>
      <c r="Z45" t="s">
        <v>581</v>
      </c>
      <c r="AB45" s="35" t="s">
        <v>580</v>
      </c>
      <c r="AC45">
        <f>V43/AC43</f>
        <v>0.65</v>
      </c>
      <c r="AD45" s="6" t="b">
        <f>AC45=C18</f>
        <v>1</v>
      </c>
    </row>
    <row r="46" spans="2:30" ht="15" thickTop="1" x14ac:dyDescent="0.3">
      <c r="O46" s="4">
        <f>O45/C18</f>
        <v>2725.5356331373032</v>
      </c>
      <c r="P46" t="s">
        <v>579</v>
      </c>
      <c r="U46" s="35"/>
      <c r="V46" s="36"/>
    </row>
    <row r="47" spans="2:30" x14ac:dyDescent="0.3">
      <c r="U47" s="35"/>
      <c r="V47" s="36"/>
      <c r="Y47" s="123" t="s">
        <v>570</v>
      </c>
      <c r="Z47" s="8" t="s">
        <v>578</v>
      </c>
      <c r="AA47" s="8"/>
      <c r="AB47" s="8"/>
      <c r="AC47" s="8"/>
    </row>
    <row r="48" spans="2:30" x14ac:dyDescent="0.3">
      <c r="Z48" s="8" t="s">
        <v>577</v>
      </c>
      <c r="AA48" s="8"/>
      <c r="AB48" s="8"/>
      <c r="AC48" s="8"/>
    </row>
    <row r="49" spans="1:29" x14ac:dyDescent="0.3">
      <c r="Z49" s="8" t="s">
        <v>568</v>
      </c>
      <c r="AA49" s="8"/>
      <c r="AB49" s="8"/>
      <c r="AC49" s="8"/>
    </row>
    <row r="50" spans="1:29" s="2" customFormat="1" x14ac:dyDescent="0.3">
      <c r="A50" s="2" t="s">
        <v>197</v>
      </c>
    </row>
    <row r="51" spans="1:29" ht="15" thickBot="1" x14ac:dyDescent="0.35">
      <c r="X51" s="71"/>
    </row>
    <row r="52" spans="1:29" ht="15" thickBot="1" x14ac:dyDescent="0.35">
      <c r="I52" s="399" t="s">
        <v>0</v>
      </c>
      <c r="J52" s="400"/>
      <c r="K52" s="400"/>
      <c r="L52" s="400"/>
      <c r="M52" s="401"/>
    </row>
    <row r="55" spans="1:29" ht="28.8" x14ac:dyDescent="0.3">
      <c r="I55" s="71" t="s">
        <v>189</v>
      </c>
      <c r="J55" t="s">
        <v>117</v>
      </c>
      <c r="K55" t="s">
        <v>576</v>
      </c>
      <c r="L55" s="71" t="s">
        <v>128</v>
      </c>
      <c r="N55" s="71" t="s">
        <v>575</v>
      </c>
      <c r="O55" s="64" t="s">
        <v>26</v>
      </c>
      <c r="Q55" s="71" t="s">
        <v>547</v>
      </c>
      <c r="R55" s="71" t="s">
        <v>39</v>
      </c>
      <c r="S55" s="71" t="s">
        <v>128</v>
      </c>
      <c r="T55" s="71" t="s">
        <v>574</v>
      </c>
    </row>
    <row r="56" spans="1:29" x14ac:dyDescent="0.3">
      <c r="I56">
        <v>1</v>
      </c>
      <c r="J56" s="1">
        <f>C12</f>
        <v>0.2</v>
      </c>
      <c r="K56" s="1">
        <f t="shared" ref="K56:K71" si="14">$C$14</f>
        <v>0.15</v>
      </c>
      <c r="L56" s="1">
        <f t="shared" ref="L56:L71" si="15">J56+K56</f>
        <v>0.35</v>
      </c>
      <c r="N56" s="122">
        <f t="shared" ref="N56:N71" si="16">(1/(1+$C$15))^(I56)</f>
        <v>0.95238095238095233</v>
      </c>
      <c r="O56" s="122">
        <f t="shared" ref="O56:O71" si="17">Y26</f>
        <v>1</v>
      </c>
      <c r="Q56" s="36">
        <f t="shared" ref="Q56:Q71" si="18">AB26</f>
        <v>2725.5356331373032</v>
      </c>
      <c r="R56" s="36">
        <f t="shared" ref="R56:R71" si="19">U26</f>
        <v>1718.2329837</v>
      </c>
      <c r="S56" s="36">
        <f t="shared" ref="S56:S71" si="20">Q56*L56</f>
        <v>953.93747159805605</v>
      </c>
      <c r="T56" s="36">
        <f t="shared" ref="T56:T71" si="21">Q56-R56-S56</f>
        <v>53.365177839247167</v>
      </c>
    </row>
    <row r="57" spans="1:29" x14ac:dyDescent="0.3">
      <c r="I57">
        <v>2</v>
      </c>
      <c r="J57" s="1">
        <f t="shared" ref="J57:J65" si="22">$D$12</f>
        <v>0.1</v>
      </c>
      <c r="K57" s="1">
        <f t="shared" si="14"/>
        <v>0.15</v>
      </c>
      <c r="L57" s="1">
        <f t="shared" si="15"/>
        <v>0.25</v>
      </c>
      <c r="N57" s="122">
        <f t="shared" si="16"/>
        <v>0.90702947845804982</v>
      </c>
      <c r="O57" s="122">
        <f t="shared" si="17"/>
        <v>0.72400000000000009</v>
      </c>
      <c r="Q57" s="36">
        <f t="shared" si="18"/>
        <v>2725.5356331373032</v>
      </c>
      <c r="R57" s="36">
        <f t="shared" si="19"/>
        <v>1788.7036680000001</v>
      </c>
      <c r="S57" s="36">
        <f t="shared" si="20"/>
        <v>681.3839082843258</v>
      </c>
      <c r="T57" s="36">
        <f t="shared" si="21"/>
        <v>255.44805685297729</v>
      </c>
    </row>
    <row r="58" spans="1:29" x14ac:dyDescent="0.3">
      <c r="I58">
        <v>3</v>
      </c>
      <c r="J58" s="1">
        <f t="shared" si="22"/>
        <v>0.1</v>
      </c>
      <c r="K58" s="1">
        <f t="shared" si="14"/>
        <v>0.15</v>
      </c>
      <c r="L58" s="1">
        <f t="shared" si="15"/>
        <v>0.25</v>
      </c>
      <c r="N58" s="122">
        <f t="shared" si="16"/>
        <v>0.86383759853147601</v>
      </c>
      <c r="O58" s="122">
        <f t="shared" si="17"/>
        <v>0.55117070200000007</v>
      </c>
      <c r="Q58" s="36">
        <f t="shared" si="18"/>
        <v>2725.5356331373032</v>
      </c>
      <c r="R58" s="36">
        <f t="shared" si="19"/>
        <v>1812.3141858000001</v>
      </c>
      <c r="S58" s="36">
        <f t="shared" si="20"/>
        <v>681.3839082843258</v>
      </c>
      <c r="T58" s="36">
        <f t="shared" si="21"/>
        <v>231.83753905297726</v>
      </c>
    </row>
    <row r="59" spans="1:29" x14ac:dyDescent="0.3">
      <c r="I59">
        <v>4</v>
      </c>
      <c r="J59" s="1">
        <f t="shared" si="22"/>
        <v>0.1</v>
      </c>
      <c r="K59" s="1">
        <f t="shared" si="14"/>
        <v>0.15</v>
      </c>
      <c r="L59" s="1">
        <f t="shared" si="15"/>
        <v>0.25</v>
      </c>
      <c r="N59" s="122">
        <f t="shared" si="16"/>
        <v>0.82270247479188185</v>
      </c>
      <c r="O59" s="122">
        <f t="shared" si="17"/>
        <v>0.41464627028530199</v>
      </c>
      <c r="Q59" s="36">
        <f t="shared" si="18"/>
        <v>2725.5356331373032</v>
      </c>
      <c r="R59" s="36">
        <f t="shared" si="19"/>
        <v>1835.148044</v>
      </c>
      <c r="S59" s="36">
        <f t="shared" si="20"/>
        <v>681.3839082843258</v>
      </c>
      <c r="T59" s="36">
        <f t="shared" si="21"/>
        <v>209.00368085297737</v>
      </c>
    </row>
    <row r="60" spans="1:29" x14ac:dyDescent="0.3">
      <c r="I60">
        <v>5</v>
      </c>
      <c r="J60" s="1">
        <f t="shared" si="22"/>
        <v>0.1</v>
      </c>
      <c r="K60" s="1">
        <f t="shared" si="14"/>
        <v>0.15</v>
      </c>
      <c r="L60" s="1">
        <f t="shared" si="15"/>
        <v>0.25</v>
      </c>
      <c r="N60" s="122">
        <f t="shared" si="16"/>
        <v>0.78352616646845885</v>
      </c>
      <c r="O60" s="122">
        <f t="shared" si="17"/>
        <v>0.30780809763732081</v>
      </c>
      <c r="Q60" s="36">
        <f t="shared" si="18"/>
        <v>2725.5356331373032</v>
      </c>
      <c r="R60" s="36">
        <f t="shared" si="19"/>
        <v>1897.2726252</v>
      </c>
      <c r="S60" s="36">
        <f t="shared" si="20"/>
        <v>681.3839082843258</v>
      </c>
      <c r="T60" s="36">
        <f t="shared" si="21"/>
        <v>146.8790996529774</v>
      </c>
    </row>
    <row r="61" spans="1:29" x14ac:dyDescent="0.3">
      <c r="I61">
        <v>6</v>
      </c>
      <c r="J61" s="1">
        <f t="shared" si="22"/>
        <v>0.1</v>
      </c>
      <c r="K61" s="1">
        <f t="shared" si="14"/>
        <v>0.15</v>
      </c>
      <c r="L61" s="1">
        <f t="shared" si="15"/>
        <v>0.25</v>
      </c>
      <c r="N61" s="122">
        <f t="shared" si="16"/>
        <v>0.7462153966366275</v>
      </c>
      <c r="O61" s="122">
        <f t="shared" si="17"/>
        <v>0.22519086519097573</v>
      </c>
      <c r="Q61" s="36">
        <f t="shared" si="18"/>
        <v>2725.5356331373032</v>
      </c>
      <c r="R61" s="36">
        <f t="shared" si="19"/>
        <v>1922.4466569000001</v>
      </c>
      <c r="S61" s="36">
        <f t="shared" si="20"/>
        <v>681.3839082843258</v>
      </c>
      <c r="T61" s="36">
        <f t="shared" si="21"/>
        <v>121.70506795297729</v>
      </c>
    </row>
    <row r="62" spans="1:29" x14ac:dyDescent="0.3">
      <c r="I62">
        <v>7</v>
      </c>
      <c r="J62" s="1">
        <f t="shared" si="22"/>
        <v>0.1</v>
      </c>
      <c r="K62" s="1">
        <f t="shared" si="14"/>
        <v>0.15</v>
      </c>
      <c r="L62" s="1">
        <f t="shared" si="15"/>
        <v>0.25</v>
      </c>
      <c r="N62" s="122">
        <f t="shared" si="16"/>
        <v>0.71068133013012136</v>
      </c>
      <c r="O62" s="122">
        <f t="shared" si="17"/>
        <v>0.17175014539990971</v>
      </c>
      <c r="Q62" s="36">
        <f t="shared" si="18"/>
        <v>2725.5356331373032</v>
      </c>
      <c r="R62" s="36">
        <f t="shared" si="19"/>
        <v>1946.7723265999998</v>
      </c>
      <c r="S62" s="36">
        <f t="shared" si="20"/>
        <v>681.3839082843258</v>
      </c>
      <c r="T62" s="36">
        <f t="shared" si="21"/>
        <v>97.37939825297758</v>
      </c>
    </row>
    <row r="63" spans="1:29" x14ac:dyDescent="0.3">
      <c r="I63">
        <v>8</v>
      </c>
      <c r="J63" s="1">
        <f t="shared" si="22"/>
        <v>0.1</v>
      </c>
      <c r="K63" s="1">
        <f t="shared" si="14"/>
        <v>0.15</v>
      </c>
      <c r="L63" s="1">
        <f t="shared" si="15"/>
        <v>0.25</v>
      </c>
      <c r="N63" s="122">
        <f t="shared" si="16"/>
        <v>0.676839362028687</v>
      </c>
      <c r="O63" s="122">
        <f t="shared" si="17"/>
        <v>0.12886928659791425</v>
      </c>
      <c r="Q63" s="36">
        <f t="shared" si="18"/>
        <v>2725.5356331373032</v>
      </c>
      <c r="R63" s="36">
        <f t="shared" si="19"/>
        <v>1971.2378508999998</v>
      </c>
      <c r="S63" s="36">
        <f t="shared" si="20"/>
        <v>681.3839082843258</v>
      </c>
      <c r="T63" s="36">
        <f t="shared" si="21"/>
        <v>72.91387395297761</v>
      </c>
    </row>
    <row r="64" spans="1:29" x14ac:dyDescent="0.3">
      <c r="I64">
        <v>9</v>
      </c>
      <c r="J64" s="1">
        <f t="shared" si="22"/>
        <v>0.1</v>
      </c>
      <c r="K64" s="1">
        <f t="shared" si="14"/>
        <v>0.15</v>
      </c>
      <c r="L64" s="1">
        <f t="shared" si="15"/>
        <v>0.25</v>
      </c>
      <c r="N64" s="122">
        <f t="shared" si="16"/>
        <v>0.64460891621779715</v>
      </c>
      <c r="O64" s="122">
        <f t="shared" si="17"/>
        <v>9.5073058449038045E-2</v>
      </c>
      <c r="Q64" s="36">
        <f t="shared" si="18"/>
        <v>2725.5356331373032</v>
      </c>
      <c r="R64" s="36">
        <f t="shared" si="19"/>
        <v>1998.1234088000001</v>
      </c>
      <c r="S64" s="36">
        <f t="shared" si="20"/>
        <v>681.3839082843258</v>
      </c>
      <c r="T64" s="36">
        <f t="shared" si="21"/>
        <v>46.028316052977289</v>
      </c>
    </row>
    <row r="65" spans="9:27" x14ac:dyDescent="0.3">
      <c r="I65">
        <v>10</v>
      </c>
      <c r="J65" s="1">
        <f t="shared" si="22"/>
        <v>0.1</v>
      </c>
      <c r="K65" s="1">
        <f t="shared" si="14"/>
        <v>0.15</v>
      </c>
      <c r="L65" s="1">
        <f t="shared" si="15"/>
        <v>0.25</v>
      </c>
      <c r="N65" s="122">
        <f t="shared" si="16"/>
        <v>0.6139132535407591</v>
      </c>
      <c r="O65" s="122">
        <f t="shared" si="17"/>
        <v>6.8810266929192676E-2</v>
      </c>
      <c r="Q65" s="36">
        <f t="shared" si="18"/>
        <v>2725.5356331373032</v>
      </c>
      <c r="R65" s="36">
        <f t="shared" si="19"/>
        <v>2019.8323192000003</v>
      </c>
      <c r="S65" s="36">
        <f t="shared" si="20"/>
        <v>681.3839082843258</v>
      </c>
      <c r="T65" s="36">
        <f t="shared" si="21"/>
        <v>24.319405652977139</v>
      </c>
    </row>
    <row r="66" spans="9:27" x14ac:dyDescent="0.3">
      <c r="I66">
        <v>11</v>
      </c>
      <c r="J66" s="1">
        <f t="shared" ref="J66:J71" si="23">$E$12</f>
        <v>0</v>
      </c>
      <c r="K66" s="1">
        <f t="shared" si="14"/>
        <v>0.15</v>
      </c>
      <c r="L66" s="1">
        <f t="shared" si="15"/>
        <v>0.15</v>
      </c>
      <c r="N66" s="122">
        <f t="shared" si="16"/>
        <v>0.58467928908643729</v>
      </c>
      <c r="O66" s="122">
        <f t="shared" si="17"/>
        <v>4.8628697310728969E-2</v>
      </c>
      <c r="Q66" s="36">
        <f t="shared" si="18"/>
        <v>2725.5356331373032</v>
      </c>
      <c r="R66" s="36">
        <f t="shared" si="19"/>
        <v>2042.5618248000003</v>
      </c>
      <c r="S66" s="36">
        <f t="shared" si="20"/>
        <v>408.83034497059549</v>
      </c>
      <c r="T66" s="36">
        <f t="shared" si="21"/>
        <v>274.14346336670741</v>
      </c>
    </row>
    <row r="67" spans="9:27" x14ac:dyDescent="0.3">
      <c r="I67">
        <v>12</v>
      </c>
      <c r="J67" s="1">
        <f t="shared" si="23"/>
        <v>0</v>
      </c>
      <c r="K67" s="1">
        <f t="shared" si="14"/>
        <v>0.15</v>
      </c>
      <c r="L67" s="1">
        <f t="shared" si="15"/>
        <v>0.15</v>
      </c>
      <c r="N67" s="122">
        <f t="shared" si="16"/>
        <v>0.55683741817755927</v>
      </c>
      <c r="O67" s="122">
        <f t="shared" si="17"/>
        <v>3.3256777061229058E-2</v>
      </c>
      <c r="Q67" s="36">
        <f t="shared" si="18"/>
        <v>2725.5356331373032</v>
      </c>
      <c r="R67" s="36">
        <f t="shared" si="19"/>
        <v>2065.5464792000002</v>
      </c>
      <c r="S67" s="36">
        <f t="shared" si="20"/>
        <v>408.83034497059549</v>
      </c>
      <c r="T67" s="36">
        <f t="shared" si="21"/>
        <v>251.15880896670745</v>
      </c>
    </row>
    <row r="68" spans="9:27" x14ac:dyDescent="0.3">
      <c r="I68">
        <v>13</v>
      </c>
      <c r="J68" s="1">
        <f t="shared" si="23"/>
        <v>0</v>
      </c>
      <c r="K68" s="1">
        <f t="shared" si="14"/>
        <v>0.15</v>
      </c>
      <c r="L68" s="1">
        <f t="shared" si="15"/>
        <v>0.15</v>
      </c>
      <c r="N68" s="122">
        <f t="shared" si="16"/>
        <v>0.53032135064529451</v>
      </c>
      <c r="O68" s="122">
        <f t="shared" si="17"/>
        <v>2.1578826080063781E-2</v>
      </c>
      <c r="Q68" s="36">
        <f t="shared" si="18"/>
        <v>2725.5356331373032</v>
      </c>
      <c r="R68" s="36">
        <f t="shared" si="19"/>
        <v>2089.1477432000001</v>
      </c>
      <c r="S68" s="36">
        <f t="shared" si="20"/>
        <v>408.83034497059549</v>
      </c>
      <c r="T68" s="36">
        <f t="shared" si="21"/>
        <v>227.55754496670755</v>
      </c>
    </row>
    <row r="69" spans="9:27" x14ac:dyDescent="0.3">
      <c r="I69">
        <v>14</v>
      </c>
      <c r="J69" s="1">
        <f t="shared" si="23"/>
        <v>0</v>
      </c>
      <c r="K69" s="1">
        <f t="shared" si="14"/>
        <v>0.15</v>
      </c>
      <c r="L69" s="1">
        <f t="shared" si="15"/>
        <v>0.15</v>
      </c>
      <c r="N69" s="122">
        <f t="shared" si="16"/>
        <v>0.50506795299551854</v>
      </c>
      <c r="O69" s="122">
        <f t="shared" si="17"/>
        <v>1.290473357147795E-2</v>
      </c>
      <c r="Q69" s="36">
        <f t="shared" si="18"/>
        <v>2725.5356331373032</v>
      </c>
      <c r="R69" s="36">
        <f t="shared" si="19"/>
        <v>2112.7702695999997</v>
      </c>
      <c r="S69" s="36">
        <f t="shared" si="20"/>
        <v>408.83034497059549</v>
      </c>
      <c r="T69" s="36">
        <f t="shared" si="21"/>
        <v>203.93501856670804</v>
      </c>
    </row>
    <row r="70" spans="9:27" x14ac:dyDescent="0.3">
      <c r="I70">
        <v>15</v>
      </c>
      <c r="J70" s="1">
        <f t="shared" si="23"/>
        <v>0</v>
      </c>
      <c r="K70" s="1">
        <f t="shared" si="14"/>
        <v>0.15</v>
      </c>
      <c r="L70" s="1">
        <f t="shared" si="15"/>
        <v>0.15</v>
      </c>
      <c r="N70" s="122">
        <f t="shared" si="16"/>
        <v>0.48101709809097004</v>
      </c>
      <c r="O70" s="122">
        <f t="shared" si="17"/>
        <v>6.2913983010617867E-3</v>
      </c>
      <c r="Q70" s="36">
        <f t="shared" si="18"/>
        <v>2725.5356331373032</v>
      </c>
      <c r="R70" s="36">
        <f t="shared" si="19"/>
        <v>2137.3814975999999</v>
      </c>
      <c r="S70" s="36">
        <f t="shared" si="20"/>
        <v>408.83034497059549</v>
      </c>
      <c r="T70" s="36">
        <f t="shared" si="21"/>
        <v>179.32379056670783</v>
      </c>
    </row>
    <row r="71" spans="9:27" x14ac:dyDescent="0.3">
      <c r="I71">
        <v>16</v>
      </c>
      <c r="J71" s="1">
        <f t="shared" si="23"/>
        <v>0</v>
      </c>
      <c r="K71" s="1">
        <f t="shared" si="14"/>
        <v>0.15</v>
      </c>
      <c r="L71" s="1">
        <f t="shared" si="15"/>
        <v>0.15</v>
      </c>
      <c r="N71" s="122">
        <f t="shared" si="16"/>
        <v>0.45811152199140004</v>
      </c>
      <c r="O71" s="122">
        <f t="shared" si="17"/>
        <v>1.9100685242023584E-3</v>
      </c>
      <c r="Q71" s="36">
        <f t="shared" si="18"/>
        <v>2725.5356331373032</v>
      </c>
      <c r="R71" s="36">
        <f t="shared" si="19"/>
        <v>2162.5668104000001</v>
      </c>
      <c r="S71" s="36">
        <f t="shared" si="20"/>
        <v>408.83034497059549</v>
      </c>
      <c r="T71" s="36">
        <f t="shared" si="21"/>
        <v>154.13847776670758</v>
      </c>
    </row>
    <row r="73" spans="9:27" x14ac:dyDescent="0.3">
      <c r="Q73" s="36"/>
      <c r="R73" s="36"/>
      <c r="S73" s="160" t="s">
        <v>573</v>
      </c>
      <c r="T73" s="36">
        <f>SUMPRODUCT($N$56:$N$71,$O$56:$O$71,T56:T71)</f>
        <v>495.28014607893937</v>
      </c>
    </row>
    <row r="75" spans="9:27" x14ac:dyDescent="0.3">
      <c r="S75" s="160" t="s">
        <v>572</v>
      </c>
      <c r="T75" s="11">
        <f>T73/V45</f>
        <v>5.3794322131823877E-2</v>
      </c>
      <c r="U75" s="8" t="s">
        <v>571</v>
      </c>
      <c r="V75" s="8"/>
    </row>
    <row r="77" spans="9:27" x14ac:dyDescent="0.3">
      <c r="T77" s="123" t="s">
        <v>570</v>
      </c>
      <c r="U77" s="8" t="s">
        <v>569</v>
      </c>
      <c r="V77" s="8"/>
      <c r="W77" s="8"/>
      <c r="X77" s="8"/>
    </row>
    <row r="78" spans="9:27" x14ac:dyDescent="0.3">
      <c r="U78" s="8" t="s">
        <v>568</v>
      </c>
      <c r="V78" s="8"/>
      <c r="W78" s="8"/>
    </row>
    <row r="79" spans="9:27" x14ac:dyDescent="0.3">
      <c r="U79" s="153" t="s">
        <v>567</v>
      </c>
      <c r="V79" s="8"/>
      <c r="W79" s="8"/>
      <c r="X79" s="8"/>
      <c r="Y79" s="8"/>
      <c r="Z79" s="8"/>
      <c r="AA79" s="8"/>
    </row>
    <row r="80" spans="9:27" x14ac:dyDescent="0.3">
      <c r="U80" s="153" t="s">
        <v>566</v>
      </c>
      <c r="V80" s="8"/>
      <c r="W80" s="8"/>
      <c r="X80" s="8"/>
      <c r="Y80" s="8"/>
      <c r="Z80" s="8"/>
      <c r="AA80" s="8"/>
    </row>
  </sheetData>
  <mergeCells count="4">
    <mergeCell ref="C10:F10"/>
    <mergeCell ref="C22:G22"/>
    <mergeCell ref="I22:M22"/>
    <mergeCell ref="I52:M5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
  <sheetViews>
    <sheetView workbookViewId="0">
      <selection activeCell="W40" sqref="W40"/>
    </sheetView>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711E-8428-4098-AECC-5D8B9EE79E0D}">
  <sheetPr>
    <tabColor theme="5" tint="0.39997558519241921"/>
  </sheetPr>
  <dimension ref="A1:M53"/>
  <sheetViews>
    <sheetView workbookViewId="0">
      <selection activeCell="U46" sqref="U46"/>
    </sheetView>
  </sheetViews>
  <sheetFormatPr defaultRowHeight="14.4" x14ac:dyDescent="0.3"/>
  <sheetData>
    <row r="1" spans="1:8" ht="15" thickBot="1" x14ac:dyDescent="0.35">
      <c r="A1" t="s">
        <v>239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238</v>
      </c>
    </row>
    <row r="13" spans="1:8" x14ac:dyDescent="0.3">
      <c r="D13" t="s">
        <v>237</v>
      </c>
    </row>
    <row r="14" spans="1:8" x14ac:dyDescent="0.3">
      <c r="D14" t="s">
        <v>236</v>
      </c>
    </row>
    <row r="15" spans="1:8" x14ac:dyDescent="0.3">
      <c r="C15" s="41">
        <v>50000</v>
      </c>
      <c r="D15" t="s">
        <v>235</v>
      </c>
    </row>
    <row r="16" spans="1:8" x14ac:dyDescent="0.3">
      <c r="D16" t="s">
        <v>234</v>
      </c>
    </row>
    <row r="17" spans="3:13" x14ac:dyDescent="0.3">
      <c r="D17" t="s">
        <v>233</v>
      </c>
    </row>
    <row r="18" spans="3:13" x14ac:dyDescent="0.3">
      <c r="C18">
        <v>0.05</v>
      </c>
      <c r="D18" t="s">
        <v>232</v>
      </c>
    </row>
    <row r="19" spans="3:13" x14ac:dyDescent="0.3">
      <c r="D19" t="s">
        <v>231</v>
      </c>
    </row>
    <row r="20" spans="3:13" x14ac:dyDescent="0.3">
      <c r="D20" t="s">
        <v>230</v>
      </c>
    </row>
    <row r="21" spans="3:13" ht="15" thickBot="1" x14ac:dyDescent="0.35"/>
    <row r="22" spans="3:13" ht="15" thickBot="1" x14ac:dyDescent="0.35">
      <c r="C22" s="399" t="s">
        <v>10</v>
      </c>
      <c r="D22" s="400"/>
      <c r="E22" s="400"/>
      <c r="F22" s="400"/>
      <c r="G22" s="401"/>
      <c r="I22" s="399" t="s">
        <v>0</v>
      </c>
      <c r="J22" s="400"/>
      <c r="K22" s="400"/>
      <c r="L22" s="400"/>
      <c r="M22" s="401"/>
    </row>
    <row r="26" spans="3:13" x14ac:dyDescent="0.3">
      <c r="C26" t="s">
        <v>229</v>
      </c>
    </row>
    <row r="27" spans="3:13" x14ac:dyDescent="0.3">
      <c r="C27" t="s">
        <v>228</v>
      </c>
      <c r="D27" t="s">
        <v>227</v>
      </c>
    </row>
    <row r="28" spans="3:13" x14ac:dyDescent="0.3">
      <c r="D28">
        <v>22</v>
      </c>
      <c r="E28">
        <v>27</v>
      </c>
      <c r="F28">
        <v>32</v>
      </c>
      <c r="G28">
        <v>37</v>
      </c>
    </row>
    <row r="29" spans="3:13" x14ac:dyDescent="0.3">
      <c r="C29" t="s">
        <v>226</v>
      </c>
      <c r="D29">
        <v>0.4</v>
      </c>
      <c r="E29">
        <v>0.36</v>
      </c>
      <c r="F29">
        <v>0.33</v>
      </c>
      <c r="G29">
        <v>0.31</v>
      </c>
    </row>
    <row r="30" spans="3:13" x14ac:dyDescent="0.3">
      <c r="C30" t="s">
        <v>225</v>
      </c>
      <c r="D30">
        <v>0.37</v>
      </c>
      <c r="E30">
        <v>0.34</v>
      </c>
      <c r="F30">
        <v>0.28999999999999998</v>
      </c>
      <c r="G30">
        <v>0.24</v>
      </c>
    </row>
    <row r="31" spans="3:13" x14ac:dyDescent="0.3">
      <c r="C31" t="s">
        <v>224</v>
      </c>
      <c r="D31">
        <v>0.22</v>
      </c>
      <c r="E31">
        <v>0.19</v>
      </c>
      <c r="F31">
        <v>0.17</v>
      </c>
      <c r="G31">
        <v>0.17</v>
      </c>
    </row>
    <row r="32" spans="3:13" x14ac:dyDescent="0.3">
      <c r="C32" t="s">
        <v>223</v>
      </c>
      <c r="D32">
        <v>0.16</v>
      </c>
      <c r="E32">
        <v>0.12</v>
      </c>
      <c r="F32">
        <v>0.1</v>
      </c>
      <c r="G32">
        <v>0.09</v>
      </c>
    </row>
    <row r="33" spans="3:7" x14ac:dyDescent="0.3">
      <c r="C33" t="s">
        <v>222</v>
      </c>
      <c r="D33">
        <v>0.14000000000000001</v>
      </c>
      <c r="E33">
        <v>0.08</v>
      </c>
      <c r="F33">
        <v>0.08</v>
      </c>
      <c r="G33">
        <v>7.0000000000000007E-2</v>
      </c>
    </row>
    <row r="39" spans="3:7" x14ac:dyDescent="0.3">
      <c r="C39" t="s">
        <v>221</v>
      </c>
    </row>
    <row r="40" spans="3:7" x14ac:dyDescent="0.3">
      <c r="E40" t="s">
        <v>220</v>
      </c>
      <c r="F40" t="s">
        <v>219</v>
      </c>
    </row>
    <row r="41" spans="3:7" x14ac:dyDescent="0.3">
      <c r="C41" t="s">
        <v>218</v>
      </c>
      <c r="D41" t="s">
        <v>7</v>
      </c>
      <c r="E41" t="s">
        <v>217</v>
      </c>
      <c r="F41" t="s">
        <v>217</v>
      </c>
    </row>
    <row r="42" spans="3:7" x14ac:dyDescent="0.3">
      <c r="C42" t="s">
        <v>216</v>
      </c>
      <c r="D42" t="s">
        <v>215</v>
      </c>
      <c r="E42">
        <v>1</v>
      </c>
      <c r="F42">
        <v>0.5</v>
      </c>
    </row>
    <row r="43" spans="3:7" x14ac:dyDescent="0.3">
      <c r="C43" t="s">
        <v>216</v>
      </c>
      <c r="D43" t="s">
        <v>214</v>
      </c>
      <c r="E43">
        <v>1.6</v>
      </c>
      <c r="F43">
        <v>1</v>
      </c>
    </row>
    <row r="44" spans="3:7" x14ac:dyDescent="0.3">
      <c r="C44" t="s">
        <v>216</v>
      </c>
      <c r="D44" t="s">
        <v>213</v>
      </c>
      <c r="E44">
        <v>2.5</v>
      </c>
      <c r="F44">
        <v>2.1</v>
      </c>
    </row>
    <row r="45" spans="3:7" x14ac:dyDescent="0.3">
      <c r="C45" t="s">
        <v>216</v>
      </c>
      <c r="D45" t="s">
        <v>212</v>
      </c>
      <c r="E45">
        <v>3</v>
      </c>
      <c r="F45">
        <v>2.6</v>
      </c>
    </row>
    <row r="46" spans="3:7" x14ac:dyDescent="0.3">
      <c r="C46" t="s">
        <v>216</v>
      </c>
      <c r="D46" t="s">
        <v>170</v>
      </c>
      <c r="E46">
        <v>4</v>
      </c>
      <c r="F46">
        <v>3.7</v>
      </c>
    </row>
    <row r="47" spans="3:7" x14ac:dyDescent="0.3">
      <c r="C47" t="s">
        <v>216</v>
      </c>
      <c r="D47" t="s">
        <v>210</v>
      </c>
      <c r="E47">
        <v>5</v>
      </c>
      <c r="F47">
        <v>4.8</v>
      </c>
    </row>
    <row r="48" spans="3:7" x14ac:dyDescent="0.3">
      <c r="C48" t="s">
        <v>211</v>
      </c>
      <c r="D48" t="s">
        <v>215</v>
      </c>
      <c r="E48">
        <v>1</v>
      </c>
      <c r="F48">
        <v>0.5</v>
      </c>
    </row>
    <row r="49" spans="3:6" x14ac:dyDescent="0.3">
      <c r="C49" t="s">
        <v>211</v>
      </c>
      <c r="D49" t="s">
        <v>214</v>
      </c>
      <c r="E49">
        <v>1.4</v>
      </c>
      <c r="F49">
        <v>1</v>
      </c>
    </row>
    <row r="50" spans="3:6" x14ac:dyDescent="0.3">
      <c r="C50" t="s">
        <v>211</v>
      </c>
      <c r="D50" t="s">
        <v>213</v>
      </c>
      <c r="E50">
        <v>2.6</v>
      </c>
      <c r="F50">
        <v>2.1</v>
      </c>
    </row>
    <row r="51" spans="3:6" x14ac:dyDescent="0.3">
      <c r="C51" t="s">
        <v>211</v>
      </c>
      <c r="D51" t="s">
        <v>212</v>
      </c>
      <c r="E51">
        <v>3.4</v>
      </c>
      <c r="F51">
        <v>3</v>
      </c>
    </row>
    <row r="52" spans="3:6" x14ac:dyDescent="0.3">
      <c r="C52" t="s">
        <v>211</v>
      </c>
      <c r="D52" t="s">
        <v>170</v>
      </c>
      <c r="E52">
        <v>4.5</v>
      </c>
      <c r="F52">
        <v>4.2</v>
      </c>
    </row>
    <row r="53" spans="3:6" x14ac:dyDescent="0.3">
      <c r="C53" t="s">
        <v>211</v>
      </c>
      <c r="D53" t="s">
        <v>210</v>
      </c>
      <c r="E53">
        <v>5.5</v>
      </c>
      <c r="F53">
        <v>5.3</v>
      </c>
    </row>
  </sheetData>
  <mergeCells count="3">
    <mergeCell ref="C10:F10"/>
    <mergeCell ref="C22:G22"/>
    <mergeCell ref="I22:M2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9DF42-7C55-4E2E-8EB0-842CB5FACEEA}">
  <sheetPr>
    <tabColor theme="9" tint="0.59999389629810485"/>
  </sheetPr>
  <dimension ref="A1:M53"/>
  <sheetViews>
    <sheetView workbookViewId="0">
      <selection activeCell="O51" sqref="O51"/>
    </sheetView>
  </sheetViews>
  <sheetFormatPr defaultRowHeight="14.4" x14ac:dyDescent="0.3"/>
  <sheetData>
    <row r="1" spans="1:8" ht="15" thickBot="1" x14ac:dyDescent="0.35">
      <c r="A1" t="s">
        <v>239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238</v>
      </c>
    </row>
    <row r="13" spans="1:8" x14ac:dyDescent="0.3">
      <c r="D13" t="s">
        <v>237</v>
      </c>
    </row>
    <row r="14" spans="1:8" x14ac:dyDescent="0.3">
      <c r="D14" t="s">
        <v>236</v>
      </c>
    </row>
    <row r="15" spans="1:8" x14ac:dyDescent="0.3">
      <c r="C15" s="41">
        <v>50000</v>
      </c>
      <c r="D15" t="s">
        <v>235</v>
      </c>
    </row>
    <row r="16" spans="1:8" x14ac:dyDescent="0.3">
      <c r="D16" t="s">
        <v>234</v>
      </c>
    </row>
    <row r="17" spans="3:13" x14ac:dyDescent="0.3">
      <c r="D17" t="s">
        <v>233</v>
      </c>
    </row>
    <row r="18" spans="3:13" x14ac:dyDescent="0.3">
      <c r="C18">
        <v>0.05</v>
      </c>
      <c r="D18" t="s">
        <v>232</v>
      </c>
    </row>
    <row r="19" spans="3:13" x14ac:dyDescent="0.3">
      <c r="D19" t="s">
        <v>231</v>
      </c>
    </row>
    <row r="20" spans="3:13" x14ac:dyDescent="0.3">
      <c r="D20" t="s">
        <v>230</v>
      </c>
    </row>
    <row r="21" spans="3:13" ht="15" thickBot="1" x14ac:dyDescent="0.35"/>
    <row r="22" spans="3:13" ht="15" thickBot="1" x14ac:dyDescent="0.35">
      <c r="C22" s="399" t="s">
        <v>10</v>
      </c>
      <c r="D22" s="400"/>
      <c r="E22" s="400"/>
      <c r="F22" s="400"/>
      <c r="G22" s="401"/>
      <c r="I22" s="399" t="s">
        <v>0</v>
      </c>
      <c r="J22" s="400"/>
      <c r="K22" s="400"/>
      <c r="L22" s="400"/>
      <c r="M22" s="401"/>
    </row>
    <row r="24" spans="3:13" x14ac:dyDescent="0.3">
      <c r="I24" t="s">
        <v>601</v>
      </c>
    </row>
    <row r="26" spans="3:13" x14ac:dyDescent="0.3">
      <c r="C26" t="s">
        <v>229</v>
      </c>
    </row>
    <row r="27" spans="3:13" x14ac:dyDescent="0.3">
      <c r="C27" t="s">
        <v>228</v>
      </c>
      <c r="D27" t="s">
        <v>227</v>
      </c>
    </row>
    <row r="28" spans="3:13" x14ac:dyDescent="0.3">
      <c r="D28">
        <v>22</v>
      </c>
      <c r="E28">
        <v>27</v>
      </c>
      <c r="F28">
        <v>32</v>
      </c>
      <c r="G28">
        <v>37</v>
      </c>
      <c r="I28" t="s">
        <v>279</v>
      </c>
      <c r="J28" t="s">
        <v>444</v>
      </c>
      <c r="K28" t="s">
        <v>600</v>
      </c>
      <c r="L28" t="s">
        <v>599</v>
      </c>
    </row>
    <row r="29" spans="3:13" x14ac:dyDescent="0.3">
      <c r="C29" t="s">
        <v>226</v>
      </c>
      <c r="D29">
        <v>0.4</v>
      </c>
      <c r="E29">
        <v>0.36</v>
      </c>
      <c r="F29">
        <v>0.33</v>
      </c>
      <c r="G29">
        <v>0.31</v>
      </c>
      <c r="I29">
        <v>1</v>
      </c>
      <c r="J29" s="41">
        <f>$C$15</f>
        <v>50000</v>
      </c>
      <c r="K29">
        <f>(1+$C$18)^(-I29)</f>
        <v>0.95238095238095233</v>
      </c>
      <c r="L29">
        <f>(1-E29)</f>
        <v>0.64</v>
      </c>
    </row>
    <row r="30" spans="3:13" x14ac:dyDescent="0.3">
      <c r="C30" t="s">
        <v>225</v>
      </c>
      <c r="D30">
        <v>0.37</v>
      </c>
      <c r="E30">
        <v>0.34</v>
      </c>
      <c r="F30">
        <v>0.28999999999999998</v>
      </c>
      <c r="G30">
        <v>0.24</v>
      </c>
      <c r="I30">
        <v>2</v>
      </c>
      <c r="J30" s="41">
        <f>$C$15</f>
        <v>50000</v>
      </c>
      <c r="K30">
        <f>(1+$C$18)^(-I30)</f>
        <v>0.90702947845804982</v>
      </c>
      <c r="L30">
        <f>L29*(1-E30)</f>
        <v>0.42239999999999994</v>
      </c>
    </row>
    <row r="31" spans="3:13" x14ac:dyDescent="0.3">
      <c r="C31" t="s">
        <v>224</v>
      </c>
      <c r="D31">
        <v>0.22</v>
      </c>
      <c r="E31">
        <v>0.19</v>
      </c>
      <c r="F31">
        <v>0.17</v>
      </c>
      <c r="G31">
        <v>0.17</v>
      </c>
      <c r="I31">
        <v>3</v>
      </c>
      <c r="J31" s="41">
        <f>$C$15</f>
        <v>50000</v>
      </c>
      <c r="K31">
        <f>(1+$C$18)^(-I31)</f>
        <v>0.86383759853147601</v>
      </c>
      <c r="L31">
        <f>L30*(1-E31)</f>
        <v>0.34214399999999995</v>
      </c>
    </row>
    <row r="32" spans="3:13" x14ac:dyDescent="0.3">
      <c r="C32" t="s">
        <v>223</v>
      </c>
      <c r="D32">
        <v>0.16</v>
      </c>
      <c r="E32">
        <v>0.12</v>
      </c>
      <c r="F32">
        <v>0.1</v>
      </c>
      <c r="G32">
        <v>0.09</v>
      </c>
      <c r="I32">
        <v>4</v>
      </c>
      <c r="J32" s="41">
        <f>$C$15</f>
        <v>50000</v>
      </c>
      <c r="K32">
        <f>(1+$C$18)^(-I32)</f>
        <v>0.82270247479188197</v>
      </c>
      <c r="L32">
        <f>L31*(1-E32)</f>
        <v>0.30108671999999997</v>
      </c>
    </row>
    <row r="33" spans="3:13" x14ac:dyDescent="0.3">
      <c r="C33" t="s">
        <v>222</v>
      </c>
      <c r="D33">
        <v>0.14000000000000001</v>
      </c>
      <c r="E33">
        <v>0.08</v>
      </c>
      <c r="F33">
        <v>0.08</v>
      </c>
      <c r="G33">
        <v>7.0000000000000007E-2</v>
      </c>
      <c r="I33">
        <v>5</v>
      </c>
      <c r="J33" s="41">
        <f>$C$15</f>
        <v>50000</v>
      </c>
      <c r="K33">
        <f>(1+$C$18)^(-I33)</f>
        <v>0.78352616646845896</v>
      </c>
      <c r="L33">
        <f>L32*(1-E33)</f>
        <v>0.27699978240000001</v>
      </c>
    </row>
    <row r="35" spans="3:13" x14ac:dyDescent="0.3">
      <c r="L35" s="41">
        <f>SUMPRODUCT(L29:L33,K29:K33,J29:J33)</f>
        <v>87647.56399119414</v>
      </c>
      <c r="M35" t="s">
        <v>598</v>
      </c>
    </row>
    <row r="39" spans="3:13" x14ac:dyDescent="0.3">
      <c r="C39" t="s">
        <v>221</v>
      </c>
      <c r="L39">
        <f>F48/1000</f>
        <v>5.0000000000000001E-4</v>
      </c>
      <c r="M39" t="s">
        <v>597</v>
      </c>
    </row>
    <row r="40" spans="3:13" x14ac:dyDescent="0.3">
      <c r="E40" t="s">
        <v>220</v>
      </c>
      <c r="F40" t="s">
        <v>219</v>
      </c>
    </row>
    <row r="41" spans="3:13" x14ac:dyDescent="0.3">
      <c r="C41" t="s">
        <v>218</v>
      </c>
      <c r="D41" t="s">
        <v>7</v>
      </c>
      <c r="E41" t="s">
        <v>217</v>
      </c>
      <c r="F41" t="s">
        <v>217</v>
      </c>
    </row>
    <row r="42" spans="3:13" x14ac:dyDescent="0.3">
      <c r="C42" t="s">
        <v>216</v>
      </c>
      <c r="D42" t="s">
        <v>215</v>
      </c>
      <c r="E42">
        <v>1</v>
      </c>
      <c r="F42">
        <v>0.5</v>
      </c>
      <c r="L42" s="4">
        <f>L35*L39/12</f>
        <v>3.6519818329664226</v>
      </c>
      <c r="M42" t="s">
        <v>596</v>
      </c>
    </row>
    <row r="43" spans="3:13" x14ac:dyDescent="0.3">
      <c r="C43" t="s">
        <v>216</v>
      </c>
      <c r="D43" t="s">
        <v>214</v>
      </c>
      <c r="E43">
        <v>1.6</v>
      </c>
      <c r="F43">
        <v>1</v>
      </c>
    </row>
    <row r="44" spans="3:13" x14ac:dyDescent="0.3">
      <c r="C44" t="s">
        <v>216</v>
      </c>
      <c r="D44" t="s">
        <v>213</v>
      </c>
      <c r="E44">
        <v>2.5</v>
      </c>
      <c r="F44">
        <v>2.1</v>
      </c>
    </row>
    <row r="45" spans="3:13" x14ac:dyDescent="0.3">
      <c r="C45" t="s">
        <v>216</v>
      </c>
      <c r="D45" t="s">
        <v>212</v>
      </c>
      <c r="E45">
        <v>3</v>
      </c>
      <c r="F45">
        <v>2.6</v>
      </c>
    </row>
    <row r="46" spans="3:13" x14ac:dyDescent="0.3">
      <c r="C46" t="s">
        <v>216</v>
      </c>
      <c r="D46" t="s">
        <v>170</v>
      </c>
      <c r="E46">
        <v>4</v>
      </c>
      <c r="F46">
        <v>3.7</v>
      </c>
    </row>
    <row r="47" spans="3:13" x14ac:dyDescent="0.3">
      <c r="C47" t="s">
        <v>216</v>
      </c>
      <c r="D47" t="s">
        <v>210</v>
      </c>
      <c r="E47">
        <v>5</v>
      </c>
      <c r="F47">
        <v>4.8</v>
      </c>
    </row>
    <row r="48" spans="3:13" x14ac:dyDescent="0.3">
      <c r="C48" t="s">
        <v>211</v>
      </c>
      <c r="D48" t="s">
        <v>215</v>
      </c>
      <c r="E48">
        <v>1</v>
      </c>
      <c r="F48">
        <v>0.5</v>
      </c>
    </row>
    <row r="49" spans="3:6" x14ac:dyDescent="0.3">
      <c r="C49" t="s">
        <v>211</v>
      </c>
      <c r="D49" t="s">
        <v>214</v>
      </c>
      <c r="E49">
        <v>1.4</v>
      </c>
      <c r="F49">
        <v>1</v>
      </c>
    </row>
    <row r="50" spans="3:6" x14ac:dyDescent="0.3">
      <c r="C50" t="s">
        <v>211</v>
      </c>
      <c r="D50" t="s">
        <v>213</v>
      </c>
      <c r="E50">
        <v>2.6</v>
      </c>
      <c r="F50">
        <v>2.1</v>
      </c>
    </row>
    <row r="51" spans="3:6" x14ac:dyDescent="0.3">
      <c r="C51" t="s">
        <v>211</v>
      </c>
      <c r="D51" t="s">
        <v>212</v>
      </c>
      <c r="E51">
        <v>3.4</v>
      </c>
      <c r="F51">
        <v>3</v>
      </c>
    </row>
    <row r="52" spans="3:6" x14ac:dyDescent="0.3">
      <c r="C52" t="s">
        <v>211</v>
      </c>
      <c r="D52" t="s">
        <v>170</v>
      </c>
      <c r="E52">
        <v>4.5</v>
      </c>
      <c r="F52">
        <v>4.2</v>
      </c>
    </row>
    <row r="53" spans="3:6" x14ac:dyDescent="0.3">
      <c r="C53" t="s">
        <v>211</v>
      </c>
      <c r="D53" t="s">
        <v>210</v>
      </c>
      <c r="E53">
        <v>5.5</v>
      </c>
      <c r="F53">
        <v>5.3</v>
      </c>
    </row>
  </sheetData>
  <mergeCells count="3">
    <mergeCell ref="C10:F10"/>
    <mergeCell ref="C22:G22"/>
    <mergeCell ref="I22:M2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81DE-DE2F-4CF9-9DF7-BA2600A75AFD}">
  <sheetPr>
    <tabColor theme="5" tint="0.39997558519241921"/>
  </sheetPr>
  <dimension ref="A1:M50"/>
  <sheetViews>
    <sheetView workbookViewId="0">
      <pane ySplit="18" topLeftCell="A19" activePane="bottomLeft" state="frozen"/>
      <selection activeCell="U46" sqref="U46"/>
      <selection pane="bottomLeft" activeCell="U46" sqref="U46"/>
    </sheetView>
  </sheetViews>
  <sheetFormatPr defaultRowHeight="14.4" x14ac:dyDescent="0.3"/>
  <cols>
    <col min="3" max="3" width="15" customWidth="1"/>
    <col min="9" max="12" width="18.5546875" customWidth="1"/>
    <col min="14" max="14" width="11" customWidth="1"/>
  </cols>
  <sheetData>
    <row r="1" spans="1:11" ht="15" thickBot="1" x14ac:dyDescent="0.35">
      <c r="A1" t="s">
        <v>257</v>
      </c>
      <c r="B1" s="69"/>
      <c r="H1" s="10" t="s">
        <v>16</v>
      </c>
      <c r="I1" s="9"/>
    </row>
    <row r="2" spans="1:11" x14ac:dyDescent="0.3">
      <c r="H2" s="8" t="s">
        <v>15</v>
      </c>
      <c r="I2" s="8"/>
    </row>
    <row r="3" spans="1:11" ht="15" thickBot="1" x14ac:dyDescent="0.35">
      <c r="H3" s="7" t="s">
        <v>14</v>
      </c>
      <c r="I3" s="7"/>
    </row>
    <row r="4" spans="1:11" ht="15.6" thickTop="1" thickBot="1" x14ac:dyDescent="0.35">
      <c r="H4" s="6" t="s">
        <v>13</v>
      </c>
      <c r="I4" s="6"/>
    </row>
    <row r="5" spans="1:11" ht="15.6" thickTop="1" thickBot="1" x14ac:dyDescent="0.35">
      <c r="H5" s="5" t="s">
        <v>12</v>
      </c>
      <c r="I5" s="4"/>
    </row>
    <row r="6" spans="1:11" ht="15" thickBot="1" x14ac:dyDescent="0.35">
      <c r="C6" s="399" t="s">
        <v>3</v>
      </c>
      <c r="D6" s="400"/>
      <c r="E6" s="400"/>
      <c r="F6" s="401"/>
    </row>
    <row r="8" spans="1:11" x14ac:dyDescent="0.3">
      <c r="C8" s="34">
        <v>0.1</v>
      </c>
      <c r="D8" t="s">
        <v>256</v>
      </c>
      <c r="K8" s="68"/>
    </row>
    <row r="9" spans="1:11" x14ac:dyDescent="0.3">
      <c r="C9" s="34">
        <v>0.9</v>
      </c>
      <c r="D9" s="40" t="s">
        <v>255</v>
      </c>
    </row>
    <row r="10" spans="1:11" x14ac:dyDescent="0.3">
      <c r="C10">
        <v>0</v>
      </c>
      <c r="D10" s="40" t="s">
        <v>254</v>
      </c>
    </row>
    <row r="11" spans="1:11" x14ac:dyDescent="0.3">
      <c r="C11">
        <v>0</v>
      </c>
      <c r="D11" s="40" t="s">
        <v>253</v>
      </c>
    </row>
    <row r="12" spans="1:11" x14ac:dyDescent="0.3">
      <c r="C12">
        <v>0</v>
      </c>
      <c r="D12" s="40" t="s">
        <v>252</v>
      </c>
    </row>
    <row r="13" spans="1:11" x14ac:dyDescent="0.3">
      <c r="C13" s="67" t="s">
        <v>251</v>
      </c>
      <c r="D13" s="40"/>
    </row>
    <row r="14" spans="1:11" x14ac:dyDescent="0.3">
      <c r="C14" s="34">
        <v>0.05</v>
      </c>
      <c r="D14" t="s">
        <v>250</v>
      </c>
    </row>
    <row r="15" spans="1:11" x14ac:dyDescent="0.3">
      <c r="C15" s="66">
        <v>0.2</v>
      </c>
      <c r="D15" t="s">
        <v>249</v>
      </c>
    </row>
    <row r="16" spans="1:11" x14ac:dyDescent="0.3">
      <c r="C16" s="41">
        <v>8000</v>
      </c>
      <c r="D16" s="40" t="s">
        <v>248</v>
      </c>
    </row>
    <row r="17" spans="3:13" ht="15" thickBot="1" x14ac:dyDescent="0.35"/>
    <row r="18" spans="3:13" ht="15" thickBot="1" x14ac:dyDescent="0.35">
      <c r="C18" s="399" t="s">
        <v>10</v>
      </c>
      <c r="D18" s="400"/>
      <c r="E18" s="400"/>
      <c r="F18" s="400"/>
      <c r="G18" s="401"/>
      <c r="I18" s="399" t="s">
        <v>0</v>
      </c>
      <c r="J18" s="400"/>
      <c r="K18" s="400"/>
      <c r="L18" s="400"/>
      <c r="M18" s="401"/>
    </row>
    <row r="19" spans="3:13" x14ac:dyDescent="0.3">
      <c r="C19" s="39"/>
      <c r="D19" s="39"/>
      <c r="E19" s="39"/>
      <c r="F19" s="39"/>
      <c r="G19" s="39"/>
      <c r="J19" s="39"/>
      <c r="K19" s="39"/>
      <c r="L19" s="39"/>
      <c r="M19" s="39"/>
    </row>
    <row r="20" spans="3:13" x14ac:dyDescent="0.3">
      <c r="E20" t="s">
        <v>247</v>
      </c>
      <c r="F20" t="s">
        <v>246</v>
      </c>
    </row>
    <row r="21" spans="3:13" x14ac:dyDescent="0.3">
      <c r="D21" s="35" t="s">
        <v>245</v>
      </c>
      <c r="E21" s="41">
        <v>9000</v>
      </c>
      <c r="F21" t="s">
        <v>242</v>
      </c>
    </row>
    <row r="22" spans="3:13" x14ac:dyDescent="0.3">
      <c r="D22" s="35" t="s">
        <v>244</v>
      </c>
      <c r="E22">
        <v>500</v>
      </c>
      <c r="F22" t="s">
        <v>242</v>
      </c>
    </row>
    <row r="23" spans="3:13" x14ac:dyDescent="0.3">
      <c r="D23" s="35" t="s">
        <v>243</v>
      </c>
      <c r="E23">
        <v>700</v>
      </c>
      <c r="F23" t="s">
        <v>242</v>
      </c>
    </row>
    <row r="24" spans="3:13" x14ac:dyDescent="0.3">
      <c r="D24" s="35" t="s">
        <v>241</v>
      </c>
      <c r="E24">
        <v>100</v>
      </c>
      <c r="F24">
        <v>400</v>
      </c>
    </row>
    <row r="25" spans="3:13" x14ac:dyDescent="0.3">
      <c r="D25" s="35" t="s">
        <v>240</v>
      </c>
      <c r="E25">
        <v>630</v>
      </c>
      <c r="F25">
        <v>70</v>
      </c>
    </row>
    <row r="29" spans="3:13" x14ac:dyDescent="0.3">
      <c r="C29" s="39"/>
      <c r="D29" s="39"/>
      <c r="E29" s="39"/>
      <c r="F29" s="39"/>
      <c r="G29" s="39"/>
    </row>
    <row r="30" spans="3:13" x14ac:dyDescent="0.3">
      <c r="C30" s="39"/>
      <c r="D30" s="39"/>
      <c r="E30" s="39"/>
      <c r="F30" s="39"/>
      <c r="G30" s="39"/>
    </row>
    <row r="31" spans="3:13" x14ac:dyDescent="0.3">
      <c r="C31" s="39"/>
      <c r="D31" s="39"/>
      <c r="E31" s="39"/>
      <c r="F31" s="39"/>
      <c r="G31" s="39"/>
    </row>
    <row r="32" spans="3:13" x14ac:dyDescent="0.3">
      <c r="C32" s="39"/>
      <c r="D32" s="39"/>
      <c r="E32" s="39"/>
      <c r="F32" s="39"/>
      <c r="G32" s="39"/>
    </row>
    <row r="33" spans="3:8" x14ac:dyDescent="0.3">
      <c r="C33" s="39"/>
      <c r="D33" s="39"/>
      <c r="E33" s="39"/>
      <c r="F33" s="39"/>
      <c r="G33" s="39"/>
    </row>
    <row r="34" spans="3:8" x14ac:dyDescent="0.3">
      <c r="C34" s="39"/>
      <c r="D34" s="39"/>
      <c r="E34" s="39"/>
      <c r="F34" s="39"/>
      <c r="G34" s="39"/>
    </row>
    <row r="35" spans="3:8" x14ac:dyDescent="0.3">
      <c r="C35" s="39"/>
      <c r="D35" s="39"/>
      <c r="E35" s="39"/>
      <c r="F35" s="39"/>
      <c r="G35" s="39"/>
    </row>
    <row r="36" spans="3:8" x14ac:dyDescent="0.3">
      <c r="C36" s="39"/>
      <c r="D36" s="39"/>
      <c r="E36" s="39"/>
      <c r="F36" s="39"/>
      <c r="G36" s="39"/>
    </row>
    <row r="37" spans="3:8" x14ac:dyDescent="0.3">
      <c r="C37" s="39"/>
      <c r="D37" s="39"/>
      <c r="E37" s="39"/>
      <c r="F37" s="39"/>
      <c r="G37" s="39"/>
    </row>
    <row r="38" spans="3:8" x14ac:dyDescent="0.3">
      <c r="C38" s="39"/>
      <c r="D38" s="39"/>
      <c r="E38" s="39"/>
      <c r="F38" s="39"/>
      <c r="G38" s="39"/>
    </row>
    <row r="39" spans="3:8" x14ac:dyDescent="0.3">
      <c r="C39" s="39"/>
      <c r="D39" s="39"/>
      <c r="E39" s="39"/>
      <c r="F39" s="39"/>
      <c r="G39" s="39"/>
    </row>
    <row r="40" spans="3:8" x14ac:dyDescent="0.3">
      <c r="C40" s="39"/>
      <c r="D40" s="39"/>
      <c r="E40" s="39"/>
      <c r="F40" s="39"/>
      <c r="G40" s="39"/>
    </row>
    <row r="41" spans="3:8" x14ac:dyDescent="0.3">
      <c r="C41" s="39"/>
      <c r="D41" s="39"/>
      <c r="E41" s="39"/>
      <c r="F41" s="39"/>
      <c r="G41" s="39"/>
    </row>
    <row r="42" spans="3:8" x14ac:dyDescent="0.3">
      <c r="C42" s="39"/>
      <c r="D42" s="39"/>
      <c r="E42" s="39"/>
      <c r="F42" s="39"/>
      <c r="G42" s="39"/>
    </row>
    <row r="44" spans="3:8" x14ac:dyDescent="0.3">
      <c r="C44" s="65"/>
    </row>
    <row r="46" spans="3:8" x14ac:dyDescent="0.3">
      <c r="H46" s="35"/>
    </row>
    <row r="47" spans="3:8" x14ac:dyDescent="0.3">
      <c r="C47" s="39"/>
    </row>
    <row r="48" spans="3:8" x14ac:dyDescent="0.3">
      <c r="C48" s="39"/>
    </row>
    <row r="49" spans="3:5" x14ac:dyDescent="0.3">
      <c r="C49" s="39"/>
    </row>
    <row r="50" spans="3:5" x14ac:dyDescent="0.3">
      <c r="C50" s="39"/>
      <c r="E50" s="36"/>
    </row>
  </sheetData>
  <mergeCells count="3">
    <mergeCell ref="C6:F6"/>
    <mergeCell ref="C18:G18"/>
    <mergeCell ref="I18:M18"/>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B819-2EB8-4262-9594-3DF45544A58B}">
  <sheetPr>
    <tabColor theme="9" tint="0.59999389629810485"/>
  </sheetPr>
  <dimension ref="A1:Y50"/>
  <sheetViews>
    <sheetView workbookViewId="0">
      <pane ySplit="18" topLeftCell="A19" activePane="bottomLeft" state="frozen"/>
      <selection activeCell="O51" sqref="O51"/>
      <selection pane="bottomLeft" activeCell="O51" sqref="O51"/>
    </sheetView>
  </sheetViews>
  <sheetFormatPr defaultRowHeight="14.4" x14ac:dyDescent="0.3"/>
  <cols>
    <col min="3" max="3" width="15" customWidth="1"/>
    <col min="9" max="12" width="18.5546875" customWidth="1"/>
    <col min="14" max="14" width="11" customWidth="1"/>
  </cols>
  <sheetData>
    <row r="1" spans="1:11" ht="15" thickBot="1" x14ac:dyDescent="0.35">
      <c r="A1" t="s">
        <v>257</v>
      </c>
      <c r="B1" s="69"/>
      <c r="H1" s="10" t="s">
        <v>16</v>
      </c>
      <c r="I1" s="9"/>
    </row>
    <row r="2" spans="1:11" x14ac:dyDescent="0.3">
      <c r="H2" s="8" t="s">
        <v>15</v>
      </c>
      <c r="I2" s="8"/>
    </row>
    <row r="3" spans="1:11" ht="15" thickBot="1" x14ac:dyDescent="0.35">
      <c r="H3" s="7" t="s">
        <v>14</v>
      </c>
      <c r="I3" s="7"/>
    </row>
    <row r="4" spans="1:11" ht="15.6" thickTop="1" thickBot="1" x14ac:dyDescent="0.35">
      <c r="H4" s="6" t="s">
        <v>13</v>
      </c>
      <c r="I4" s="6"/>
    </row>
    <row r="5" spans="1:11" ht="15.6" thickTop="1" thickBot="1" x14ac:dyDescent="0.35">
      <c r="H5" s="5" t="s">
        <v>12</v>
      </c>
      <c r="I5" s="4"/>
    </row>
    <row r="6" spans="1:11" ht="15" thickBot="1" x14ac:dyDescent="0.35">
      <c r="C6" s="399" t="s">
        <v>3</v>
      </c>
      <c r="D6" s="400"/>
      <c r="E6" s="400"/>
      <c r="F6" s="401"/>
    </row>
    <row r="8" spans="1:11" x14ac:dyDescent="0.3">
      <c r="C8" s="34">
        <v>0.1</v>
      </c>
      <c r="D8" t="s">
        <v>256</v>
      </c>
      <c r="K8" s="68"/>
    </row>
    <row r="9" spans="1:11" x14ac:dyDescent="0.3">
      <c r="C9" s="34">
        <v>0.9</v>
      </c>
      <c r="D9" s="40" t="s">
        <v>255</v>
      </c>
    </row>
    <row r="10" spans="1:11" x14ac:dyDescent="0.3">
      <c r="C10">
        <v>0</v>
      </c>
      <c r="D10" s="40" t="s">
        <v>254</v>
      </c>
    </row>
    <row r="11" spans="1:11" x14ac:dyDescent="0.3">
      <c r="C11">
        <v>0</v>
      </c>
      <c r="D11" s="40" t="s">
        <v>253</v>
      </c>
    </row>
    <row r="12" spans="1:11" x14ac:dyDescent="0.3">
      <c r="C12">
        <v>0</v>
      </c>
      <c r="D12" s="40" t="s">
        <v>252</v>
      </c>
    </row>
    <row r="13" spans="1:11" x14ac:dyDescent="0.3">
      <c r="C13" s="67" t="s">
        <v>251</v>
      </c>
      <c r="D13" s="40"/>
    </row>
    <row r="14" spans="1:11" x14ac:dyDescent="0.3">
      <c r="C14" s="34">
        <v>0.05</v>
      </c>
      <c r="D14" t="s">
        <v>250</v>
      </c>
    </row>
    <row r="15" spans="1:11" x14ac:dyDescent="0.3">
      <c r="C15" s="66">
        <v>0.2</v>
      </c>
      <c r="D15" t="s">
        <v>249</v>
      </c>
    </row>
    <row r="16" spans="1:11" x14ac:dyDescent="0.3">
      <c r="C16" s="41">
        <v>8000</v>
      </c>
      <c r="D16" s="40" t="s">
        <v>248</v>
      </c>
    </row>
    <row r="17" spans="3:17" ht="15" thickBot="1" x14ac:dyDescent="0.35"/>
    <row r="18" spans="3:17" ht="15" thickBot="1" x14ac:dyDescent="0.35">
      <c r="C18" s="399" t="s">
        <v>10</v>
      </c>
      <c r="D18" s="400"/>
      <c r="E18" s="400"/>
      <c r="F18" s="400"/>
      <c r="G18" s="401"/>
      <c r="I18" s="399" t="s">
        <v>0</v>
      </c>
      <c r="J18" s="400"/>
      <c r="K18" s="400"/>
      <c r="L18" s="400"/>
      <c r="M18" s="401"/>
    </row>
    <row r="19" spans="3:17" x14ac:dyDescent="0.3">
      <c r="C19" s="39"/>
      <c r="D19" s="39"/>
      <c r="E19" s="39"/>
      <c r="F19" s="39"/>
      <c r="G19" s="39"/>
      <c r="J19" s="39"/>
      <c r="K19" s="39"/>
      <c r="L19" s="39"/>
      <c r="M19" s="39"/>
    </row>
    <row r="20" spans="3:17" x14ac:dyDescent="0.3">
      <c r="E20" t="s">
        <v>247</v>
      </c>
      <c r="F20" t="s">
        <v>246</v>
      </c>
      <c r="J20" s="35" t="s">
        <v>245</v>
      </c>
      <c r="K20" s="36">
        <f>E21</f>
        <v>9000</v>
      </c>
    </row>
    <row r="21" spans="3:17" x14ac:dyDescent="0.3">
      <c r="D21" s="35" t="s">
        <v>245</v>
      </c>
      <c r="E21" s="41">
        <v>9000</v>
      </c>
      <c r="F21" t="s">
        <v>242</v>
      </c>
    </row>
    <row r="22" spans="3:17" x14ac:dyDescent="0.3">
      <c r="D22" s="35" t="s">
        <v>244</v>
      </c>
      <c r="E22">
        <v>500</v>
      </c>
      <c r="F22" t="s">
        <v>242</v>
      </c>
    </row>
    <row r="23" spans="3:17" x14ac:dyDescent="0.3">
      <c r="D23" s="35" t="s">
        <v>243</v>
      </c>
      <c r="E23">
        <v>700</v>
      </c>
      <c r="F23" t="s">
        <v>242</v>
      </c>
      <c r="K23" s="180" t="s">
        <v>621</v>
      </c>
      <c r="L23" s="179"/>
    </row>
    <row r="24" spans="3:17" x14ac:dyDescent="0.3">
      <c r="D24" s="35" t="s">
        <v>241</v>
      </c>
      <c r="E24">
        <v>100</v>
      </c>
      <c r="F24">
        <v>400</v>
      </c>
      <c r="I24" s="58" t="s">
        <v>508</v>
      </c>
      <c r="J24" s="58" t="s">
        <v>620</v>
      </c>
      <c r="K24" s="178" t="s">
        <v>247</v>
      </c>
      <c r="L24" s="177" t="s">
        <v>246</v>
      </c>
      <c r="P24" s="36"/>
      <c r="Q24" s="36"/>
    </row>
    <row r="25" spans="3:17" x14ac:dyDescent="0.3">
      <c r="D25" s="35" t="s">
        <v>240</v>
      </c>
      <c r="E25">
        <v>630</v>
      </c>
      <c r="F25">
        <v>70</v>
      </c>
      <c r="I25" s="35" t="s">
        <v>615</v>
      </c>
      <c r="J25" s="176">
        <v>500</v>
      </c>
      <c r="K25" s="176">
        <f>E24</f>
        <v>100</v>
      </c>
      <c r="L25" s="176">
        <f>J25-K25</f>
        <v>400</v>
      </c>
      <c r="P25" s="36"/>
      <c r="Q25" s="36"/>
    </row>
    <row r="26" spans="3:17" x14ac:dyDescent="0.3">
      <c r="I26" s="128" t="s">
        <v>614</v>
      </c>
      <c r="J26" s="175">
        <v>700</v>
      </c>
      <c r="K26" s="175">
        <f>E25</f>
        <v>630</v>
      </c>
      <c r="L26" s="174">
        <f>J26-K26</f>
        <v>70</v>
      </c>
    </row>
    <row r="28" spans="3:17" x14ac:dyDescent="0.3">
      <c r="I28" s="68" t="s">
        <v>619</v>
      </c>
    </row>
    <row r="29" spans="3:17" x14ac:dyDescent="0.3">
      <c r="C29" s="39"/>
      <c r="D29" s="39"/>
      <c r="E29" s="39"/>
      <c r="F29" s="39"/>
      <c r="G29" s="39"/>
      <c r="I29" s="39"/>
      <c r="J29" s="35" t="s">
        <v>618</v>
      </c>
      <c r="K29" s="36">
        <f>K20*$C$9</f>
        <v>8100</v>
      </c>
    </row>
    <row r="30" spans="3:17" x14ac:dyDescent="0.3">
      <c r="C30" s="39"/>
      <c r="D30" s="39"/>
      <c r="E30" s="39"/>
      <c r="F30" s="39"/>
      <c r="G30" s="39"/>
      <c r="I30" s="39"/>
      <c r="J30" s="58" t="s">
        <v>508</v>
      </c>
      <c r="K30" s="129" t="s">
        <v>617</v>
      </c>
      <c r="L30" s="129" t="s">
        <v>616</v>
      </c>
    </row>
    <row r="31" spans="3:17" x14ac:dyDescent="0.3">
      <c r="C31" s="39"/>
      <c r="D31" s="39"/>
      <c r="E31" s="39"/>
      <c r="F31" s="39"/>
      <c r="G31" s="39"/>
      <c r="I31" s="39"/>
      <c r="J31" s="35" t="s">
        <v>615</v>
      </c>
      <c r="K31" s="173">
        <f>K32*(1-$C$8)</f>
        <v>7606.95652173913</v>
      </c>
      <c r="L31" s="173">
        <f>K31*(1-$C$14)</f>
        <v>7226.6086956521731</v>
      </c>
      <c r="N31" s="161"/>
    </row>
    <row r="32" spans="3:17" x14ac:dyDescent="0.3">
      <c r="C32" s="39"/>
      <c r="D32" s="39"/>
      <c r="E32" s="39"/>
      <c r="F32" s="39"/>
      <c r="G32" s="39"/>
      <c r="I32" s="39"/>
      <c r="J32" s="128" t="s">
        <v>614</v>
      </c>
      <c r="K32" s="172">
        <f>K29*SUM(J25:J26)/(J25*(1-$C$8)+J26)</f>
        <v>8452.173913043478</v>
      </c>
      <c r="L32" s="172">
        <f>K32*(1-$C$15)</f>
        <v>6761.739130434783</v>
      </c>
      <c r="N32" s="161"/>
    </row>
    <row r="33" spans="3:25" ht="15" thickBot="1" x14ac:dyDescent="0.35">
      <c r="C33" s="39"/>
      <c r="D33" s="39"/>
      <c r="E33" s="39"/>
      <c r="F33" s="39"/>
      <c r="G33" s="39"/>
    </row>
    <row r="34" spans="3:25" ht="15.6" thickTop="1" thickBot="1" x14ac:dyDescent="0.35">
      <c r="C34" s="39"/>
      <c r="D34" s="39"/>
      <c r="E34" s="39"/>
      <c r="F34" s="39"/>
      <c r="G34" s="39"/>
      <c r="K34" s="36">
        <f>SUMPRODUCT(K31:L32,K25:L26)/SUM(K25:L26)</f>
        <v>7874.6086956521749</v>
      </c>
      <c r="L34" t="s">
        <v>613</v>
      </c>
      <c r="R34" s="6" t="b">
        <f>SUMPRODUCT(J25:J26,K31:K32)/SUM(J25:J26)=K29</f>
        <v>1</v>
      </c>
      <c r="S34" s="8" t="s">
        <v>612</v>
      </c>
      <c r="T34" s="8"/>
      <c r="U34" s="8"/>
      <c r="V34" s="8"/>
      <c r="W34" s="8"/>
      <c r="X34" s="8"/>
      <c r="Y34" s="8"/>
    </row>
    <row r="35" spans="3:25" ht="15" thickTop="1" x14ac:dyDescent="0.3">
      <c r="C35" s="39"/>
      <c r="D35" s="39"/>
      <c r="E35" s="39"/>
      <c r="F35" s="39"/>
      <c r="G35" s="39"/>
    </row>
    <row r="36" spans="3:25" x14ac:dyDescent="0.3">
      <c r="C36" s="39"/>
      <c r="D36" s="39"/>
      <c r="E36" s="39"/>
      <c r="F36" s="39"/>
      <c r="G36" s="39"/>
      <c r="I36" s="68" t="s">
        <v>611</v>
      </c>
      <c r="J36" s="39"/>
      <c r="K36" s="39"/>
      <c r="L36" s="39"/>
      <c r="M36" s="39"/>
    </row>
    <row r="37" spans="3:25" x14ac:dyDescent="0.3">
      <c r="C37" s="39"/>
      <c r="D37" s="39"/>
      <c r="E37" s="39"/>
      <c r="F37" s="39"/>
      <c r="G37" s="39"/>
      <c r="J37" s="39"/>
      <c r="K37" s="39"/>
      <c r="L37" s="39"/>
      <c r="M37" s="39"/>
    </row>
    <row r="38" spans="3:25" x14ac:dyDescent="0.3">
      <c r="C38" s="39"/>
      <c r="D38" s="39"/>
      <c r="E38" s="39"/>
      <c r="F38" s="39"/>
      <c r="G38" s="39"/>
      <c r="I38" s="36">
        <f>K34</f>
        <v>7874.6086956521749</v>
      </c>
      <c r="J38" t="s">
        <v>610</v>
      </c>
      <c r="K38" s="39"/>
      <c r="L38" s="39"/>
      <c r="M38" s="39"/>
    </row>
    <row r="39" spans="3:25" x14ac:dyDescent="0.3">
      <c r="C39" s="39"/>
      <c r="D39" s="39"/>
      <c r="E39" s="39"/>
      <c r="F39" s="39"/>
      <c r="G39" s="39"/>
      <c r="I39" s="135">
        <f>1+$C$10</f>
        <v>1</v>
      </c>
      <c r="J39" t="s">
        <v>609</v>
      </c>
    </row>
    <row r="40" spans="3:25" x14ac:dyDescent="0.3">
      <c r="C40" s="39"/>
      <c r="D40" s="39"/>
      <c r="E40" s="39"/>
      <c r="F40" s="39"/>
      <c r="G40" s="39"/>
      <c r="I40" s="36">
        <f>I38*I39</f>
        <v>7874.6086956521749</v>
      </c>
      <c r="J40" t="s">
        <v>608</v>
      </c>
      <c r="N40" s="36"/>
    </row>
    <row r="41" spans="3:25" x14ac:dyDescent="0.3">
      <c r="C41" s="39"/>
      <c r="D41" s="39"/>
      <c r="E41" s="39"/>
      <c r="F41" s="39"/>
      <c r="G41" s="39"/>
    </row>
    <row r="42" spans="3:25" x14ac:dyDescent="0.3">
      <c r="C42" s="39"/>
      <c r="D42" s="39"/>
      <c r="E42" s="39"/>
      <c r="F42" s="39"/>
      <c r="G42" s="39"/>
      <c r="I42" s="34">
        <f>C9</f>
        <v>0.9</v>
      </c>
      <c r="J42" t="s">
        <v>607</v>
      </c>
    </row>
    <row r="43" spans="3:25" x14ac:dyDescent="0.3">
      <c r="I43" s="36">
        <f>I40/I42</f>
        <v>8749.5652173913059</v>
      </c>
      <c r="J43" t="s">
        <v>606</v>
      </c>
    </row>
    <row r="44" spans="3:25" x14ac:dyDescent="0.3">
      <c r="C44" s="65"/>
    </row>
    <row r="45" spans="3:25" x14ac:dyDescent="0.3">
      <c r="I45" s="36">
        <f>I43</f>
        <v>8749.5652173913059</v>
      </c>
      <c r="J45" s="8" t="s">
        <v>605</v>
      </c>
      <c r="K45" s="8"/>
      <c r="L45" s="8"/>
      <c r="M45" s="8"/>
      <c r="N45" s="8"/>
    </row>
    <row r="46" spans="3:25" x14ac:dyDescent="0.3">
      <c r="H46" s="35"/>
      <c r="I46" s="36">
        <f>C16</f>
        <v>8000</v>
      </c>
      <c r="J46" s="8" t="s">
        <v>604</v>
      </c>
      <c r="K46" s="8"/>
      <c r="L46" s="8"/>
      <c r="M46" s="8"/>
      <c r="N46" s="8"/>
      <c r="O46" s="8"/>
      <c r="P46" s="8"/>
      <c r="Q46" s="8"/>
    </row>
    <row r="47" spans="3:25" x14ac:dyDescent="0.3">
      <c r="C47" s="39"/>
      <c r="I47" s="36">
        <f>I45-I46</f>
        <v>749.56521739130585</v>
      </c>
      <c r="J47" s="170" t="s">
        <v>603</v>
      </c>
      <c r="K47" s="171"/>
      <c r="L47" s="171"/>
    </row>
    <row r="48" spans="3:25" x14ac:dyDescent="0.3">
      <c r="C48" s="39"/>
      <c r="I48" s="4">
        <f>I47*SUM(J25:J26)</f>
        <v>899478.26086956705</v>
      </c>
      <c r="J48" s="170" t="s">
        <v>602</v>
      </c>
    </row>
    <row r="49" spans="3:5" x14ac:dyDescent="0.3">
      <c r="C49" s="39"/>
    </row>
    <row r="50" spans="3:5" x14ac:dyDescent="0.3">
      <c r="C50" s="39"/>
      <c r="E50" s="36"/>
    </row>
  </sheetData>
  <mergeCells count="3">
    <mergeCell ref="C6:F6"/>
    <mergeCell ref="C18:G18"/>
    <mergeCell ref="I18:M1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F3A4-3A2E-4C00-9289-8D84DC72D39F}">
  <sheetPr>
    <tabColor theme="5" tint="0.39997558519241921"/>
  </sheetPr>
  <dimension ref="A1:M22"/>
  <sheetViews>
    <sheetView workbookViewId="0">
      <selection activeCell="U46" sqref="U46"/>
    </sheetView>
  </sheetViews>
  <sheetFormatPr defaultRowHeight="14.4" x14ac:dyDescent="0.3"/>
  <sheetData>
    <row r="1" spans="1:8" ht="15" thickBot="1" x14ac:dyDescent="0.35">
      <c r="A1" t="s">
        <v>267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266</v>
      </c>
    </row>
    <row r="13" spans="1:8" x14ac:dyDescent="0.3">
      <c r="D13" t="s">
        <v>265</v>
      </c>
    </row>
    <row r="14" spans="1:8" x14ac:dyDescent="0.3">
      <c r="D14" t="s">
        <v>264</v>
      </c>
    </row>
    <row r="15" spans="1:8" x14ac:dyDescent="0.3">
      <c r="C15">
        <v>0.63</v>
      </c>
      <c r="D15" t="s">
        <v>263</v>
      </c>
    </row>
    <row r="16" spans="1:8" ht="15" thickBot="1" x14ac:dyDescent="0.35"/>
    <row r="17" spans="3:13" ht="15" thickBot="1" x14ac:dyDescent="0.35">
      <c r="C17" s="399" t="s">
        <v>10</v>
      </c>
      <c r="D17" s="400"/>
      <c r="E17" s="400"/>
      <c r="F17" s="400"/>
      <c r="G17" s="401"/>
      <c r="I17" s="399" t="s">
        <v>0</v>
      </c>
      <c r="J17" s="400"/>
      <c r="K17" s="400"/>
      <c r="L17" s="400"/>
      <c r="M17" s="401"/>
    </row>
    <row r="20" spans="3:13" x14ac:dyDescent="0.3">
      <c r="C20" t="s">
        <v>262</v>
      </c>
      <c r="D20" t="s">
        <v>120</v>
      </c>
      <c r="E20" t="s">
        <v>261</v>
      </c>
      <c r="F20" t="s">
        <v>260</v>
      </c>
    </row>
    <row r="21" spans="3:13" x14ac:dyDescent="0.3">
      <c r="C21" t="s">
        <v>259</v>
      </c>
      <c r="D21">
        <v>69.5</v>
      </c>
      <c r="E21">
        <v>384.5</v>
      </c>
      <c r="F21">
        <v>23</v>
      </c>
    </row>
    <row r="22" spans="3:13" x14ac:dyDescent="0.3">
      <c r="C22" t="s">
        <v>258</v>
      </c>
      <c r="D22">
        <v>558.5</v>
      </c>
      <c r="E22">
        <v>263</v>
      </c>
      <c r="F22">
        <v>52.5</v>
      </c>
    </row>
  </sheetData>
  <mergeCells count="3">
    <mergeCell ref="C10:F10"/>
    <mergeCell ref="C17:G17"/>
    <mergeCell ref="I17:M1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A1A88-219D-4C6D-863D-B625E7ADB847}">
  <sheetPr>
    <tabColor theme="9" tint="0.59999389629810485"/>
  </sheetPr>
  <dimension ref="A1:AC42"/>
  <sheetViews>
    <sheetView workbookViewId="0">
      <selection activeCell="O51" sqref="O51"/>
    </sheetView>
  </sheetViews>
  <sheetFormatPr defaultRowHeight="14.4" x14ac:dyDescent="0.3"/>
  <sheetData>
    <row r="1" spans="1:8" ht="15" thickBot="1" x14ac:dyDescent="0.35">
      <c r="A1" t="s">
        <v>267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266</v>
      </c>
    </row>
    <row r="13" spans="1:8" x14ac:dyDescent="0.3">
      <c r="D13" t="s">
        <v>265</v>
      </c>
    </row>
    <row r="14" spans="1:8" x14ac:dyDescent="0.3">
      <c r="D14" t="s">
        <v>264</v>
      </c>
    </row>
    <row r="15" spans="1:8" x14ac:dyDescent="0.3">
      <c r="C15">
        <v>0.63</v>
      </c>
      <c r="D15" t="s">
        <v>263</v>
      </c>
    </row>
    <row r="16" spans="1:8" ht="15" thickBot="1" x14ac:dyDescent="0.35"/>
    <row r="17" spans="1:29" ht="15" thickBot="1" x14ac:dyDescent="0.35">
      <c r="C17" s="399" t="s">
        <v>10</v>
      </c>
      <c r="D17" s="400"/>
      <c r="E17" s="400"/>
      <c r="F17" s="400"/>
      <c r="G17" s="401"/>
      <c r="I17" s="399" t="s">
        <v>0</v>
      </c>
      <c r="J17" s="400"/>
      <c r="K17" s="400"/>
      <c r="L17" s="400"/>
      <c r="M17" s="401"/>
    </row>
    <row r="20" spans="1:29" x14ac:dyDescent="0.3">
      <c r="C20" t="s">
        <v>262</v>
      </c>
      <c r="D20" t="s">
        <v>120</v>
      </c>
      <c r="E20" t="s">
        <v>261</v>
      </c>
      <c r="F20" t="s">
        <v>260</v>
      </c>
      <c r="J20" t="s">
        <v>39</v>
      </c>
      <c r="K20" t="s">
        <v>632</v>
      </c>
      <c r="L20" t="s">
        <v>631</v>
      </c>
    </row>
    <row r="21" spans="1:29" x14ac:dyDescent="0.3">
      <c r="C21" t="s">
        <v>259</v>
      </c>
      <c r="D21">
        <v>69.5</v>
      </c>
      <c r="E21">
        <v>384.5</v>
      </c>
      <c r="F21">
        <v>23</v>
      </c>
      <c r="I21" t="s">
        <v>259</v>
      </c>
      <c r="J21" s="36">
        <f t="shared" ref="J21:L22" si="0">D21</f>
        <v>69.5</v>
      </c>
      <c r="K21" s="36">
        <f t="shared" si="0"/>
        <v>384.5</v>
      </c>
      <c r="L21" s="36">
        <f t="shared" si="0"/>
        <v>23</v>
      </c>
    </row>
    <row r="22" spans="1:29" x14ac:dyDescent="0.3">
      <c r="C22" t="s">
        <v>258</v>
      </c>
      <c r="D22">
        <v>558.5</v>
      </c>
      <c r="E22">
        <v>263</v>
      </c>
      <c r="F22">
        <v>52.5</v>
      </c>
      <c r="I22" t="s">
        <v>258</v>
      </c>
      <c r="J22" s="36">
        <f t="shared" si="0"/>
        <v>558.5</v>
      </c>
      <c r="K22" s="36">
        <f t="shared" si="0"/>
        <v>263</v>
      </c>
      <c r="L22" s="36">
        <f t="shared" si="0"/>
        <v>52.5</v>
      </c>
    </row>
    <row r="24" spans="1:29" x14ac:dyDescent="0.3">
      <c r="J24" s="36">
        <f>SUM(J21:J22)</f>
        <v>628</v>
      </c>
      <c r="K24" s="36">
        <f>SUM(K21:K22)</f>
        <v>647.5</v>
      </c>
      <c r="L24" s="36">
        <f>SUM(L21:L22)</f>
        <v>75.5</v>
      </c>
    </row>
    <row r="26" spans="1:29" x14ac:dyDescent="0.3">
      <c r="I26" s="93" t="s">
        <v>630</v>
      </c>
      <c r="J26" s="93" t="s">
        <v>547</v>
      </c>
    </row>
    <row r="27" spans="1:29" x14ac:dyDescent="0.3">
      <c r="A27" s="8"/>
      <c r="B27" s="8"/>
      <c r="C27" s="8"/>
      <c r="D27" s="8"/>
      <c r="E27" s="8"/>
      <c r="F27" s="8"/>
      <c r="G27" s="8"/>
      <c r="H27" s="181" t="s">
        <v>629</v>
      </c>
      <c r="I27" s="1">
        <v>0.63</v>
      </c>
      <c r="J27" s="36">
        <f>K24</f>
        <v>647.5</v>
      </c>
      <c r="K27" s="8" t="s">
        <v>628</v>
      </c>
      <c r="L27" s="8"/>
      <c r="M27" s="8"/>
      <c r="N27" s="8"/>
    </row>
    <row r="28" spans="1:29" x14ac:dyDescent="0.3">
      <c r="C28" s="8"/>
      <c r="D28" s="8"/>
      <c r="E28" s="8"/>
      <c r="F28" s="8"/>
      <c r="G28" s="8"/>
      <c r="H28" s="181" t="s">
        <v>626</v>
      </c>
      <c r="I28" s="1">
        <v>0.85</v>
      </c>
      <c r="J28" s="36">
        <f>L24</f>
        <v>75.5</v>
      </c>
      <c r="K28" s="8" t="s">
        <v>627</v>
      </c>
      <c r="L28" s="8"/>
      <c r="M28" s="8"/>
      <c r="N28" s="8"/>
      <c r="O28" s="8"/>
      <c r="P28" s="8"/>
    </row>
    <row r="29" spans="1:29" x14ac:dyDescent="0.3">
      <c r="C29" s="8"/>
      <c r="D29" s="8"/>
      <c r="E29" s="8"/>
      <c r="F29" s="8"/>
      <c r="G29" s="8"/>
      <c r="H29" s="181" t="s">
        <v>626</v>
      </c>
      <c r="I29" s="1">
        <v>0.85</v>
      </c>
      <c r="J29" s="36">
        <f>SUM(K22:L22)</f>
        <v>315.5</v>
      </c>
      <c r="K29" s="8" t="s">
        <v>625</v>
      </c>
      <c r="L29" s="8"/>
      <c r="M29" s="8"/>
      <c r="N29" s="8"/>
      <c r="O29" s="8"/>
      <c r="P29" s="8"/>
      <c r="Q29" s="8"/>
      <c r="R29" s="8"/>
      <c r="S29" s="8"/>
      <c r="T29" s="8"/>
      <c r="U29" s="8"/>
      <c r="V29" s="8"/>
      <c r="W29" s="8"/>
      <c r="X29" s="8"/>
      <c r="Y29" s="8"/>
      <c r="Z29" s="8"/>
      <c r="AA29" s="8"/>
      <c r="AB29" s="8"/>
      <c r="AC29" s="8"/>
    </row>
    <row r="31" spans="1:29" x14ac:dyDescent="0.3">
      <c r="J31" s="41">
        <f>J24</f>
        <v>628</v>
      </c>
      <c r="K31" t="s">
        <v>624</v>
      </c>
    </row>
    <row r="33" spans="9:11" x14ac:dyDescent="0.3">
      <c r="J33" s="11">
        <f>(J31-SUMPRODUCT(I27:I28,J27:J28))/(I29*J29)</f>
        <v>0.58133681364780454</v>
      </c>
      <c r="K33" t="s">
        <v>623</v>
      </c>
    </row>
    <row r="36" spans="9:11" x14ac:dyDescent="0.3">
      <c r="J36" t="s">
        <v>622</v>
      </c>
    </row>
    <row r="37" spans="9:11" x14ac:dyDescent="0.3">
      <c r="I37" s="1">
        <f>I27</f>
        <v>0.63</v>
      </c>
      <c r="J37" s="36">
        <f>J27</f>
        <v>647.5</v>
      </c>
    </row>
    <row r="38" spans="9:11" x14ac:dyDescent="0.3">
      <c r="I38" s="1">
        <f>I28</f>
        <v>0.85</v>
      </c>
      <c r="J38" s="36">
        <f>J28</f>
        <v>75.5</v>
      </c>
    </row>
    <row r="39" spans="9:11" x14ac:dyDescent="0.3">
      <c r="I39" s="1">
        <f>I29</f>
        <v>0.85</v>
      </c>
      <c r="J39" s="36">
        <f>J29*J33</f>
        <v>183.41176470588232</v>
      </c>
    </row>
    <row r="40" spans="9:11" ht="15" thickBot="1" x14ac:dyDescent="0.35"/>
    <row r="41" spans="9:11" ht="15.6" thickTop="1" thickBot="1" x14ac:dyDescent="0.35">
      <c r="J41" s="36">
        <f>SUMPRODUCT(I37:I39,J37:J39)</f>
        <v>628</v>
      </c>
      <c r="K41" s="6" t="b">
        <f>J41=J31</f>
        <v>1</v>
      </c>
    </row>
    <row r="42" spans="9:11" ht="15" thickTop="1" x14ac:dyDescent="0.3"/>
  </sheetData>
  <mergeCells count="3">
    <mergeCell ref="C10:F10"/>
    <mergeCell ref="C17:G17"/>
    <mergeCell ref="I17:M1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ECD2-B734-486D-8457-52A04D911241}">
  <sheetPr>
    <tabColor theme="5" tint="0.39997558519241921"/>
  </sheetPr>
  <dimension ref="A1:O40"/>
  <sheetViews>
    <sheetView workbookViewId="0">
      <selection activeCell="U46" sqref="U46"/>
    </sheetView>
  </sheetViews>
  <sheetFormatPr defaultRowHeight="14.4" x14ac:dyDescent="0.3"/>
  <cols>
    <col min="4" max="4" width="10.33203125" customWidth="1"/>
    <col min="5" max="7" width="13.33203125" customWidth="1"/>
    <col min="8" max="8" width="12.6640625" customWidth="1"/>
    <col min="9" max="9" width="10.33203125" customWidth="1"/>
    <col min="10" max="11" width="9.109375" bestFit="1" customWidth="1"/>
    <col min="12" max="12" width="9" bestFit="1" customWidth="1"/>
    <col min="13" max="13" width="11.5546875" bestFit="1" customWidth="1"/>
    <col min="14" max="14" width="10.33203125" customWidth="1"/>
    <col min="15" max="15" width="10.5546875" bestFit="1" customWidth="1"/>
    <col min="16" max="16" width="11.5546875" bestFit="1" customWidth="1"/>
  </cols>
  <sheetData>
    <row r="1" spans="1:15" ht="15" thickBot="1" x14ac:dyDescent="0.35">
      <c r="A1" t="s">
        <v>283</v>
      </c>
      <c r="G1" s="10" t="s">
        <v>16</v>
      </c>
      <c r="H1" s="9"/>
    </row>
    <row r="2" spans="1:15" x14ac:dyDescent="0.3">
      <c r="G2" s="8" t="s">
        <v>15</v>
      </c>
      <c r="H2" s="8"/>
    </row>
    <row r="3" spans="1:15" ht="15" thickBot="1" x14ac:dyDescent="0.35">
      <c r="G3" s="7" t="s">
        <v>14</v>
      </c>
      <c r="H3" s="7"/>
    </row>
    <row r="4" spans="1:15" ht="15.6" thickTop="1" thickBot="1" x14ac:dyDescent="0.35">
      <c r="G4" s="6" t="s">
        <v>13</v>
      </c>
      <c r="H4" s="6"/>
    </row>
    <row r="5" spans="1:15" ht="15" thickTop="1" x14ac:dyDescent="0.3">
      <c r="G5" s="5" t="s">
        <v>12</v>
      </c>
      <c r="H5" s="4"/>
    </row>
    <row r="9" spans="1:15" ht="15" thickBot="1" x14ac:dyDescent="0.35"/>
    <row r="10" spans="1:15" ht="15" thickBot="1" x14ac:dyDescent="0.35">
      <c r="C10" s="399" t="s">
        <v>3</v>
      </c>
      <c r="D10" s="400"/>
      <c r="E10" s="400"/>
      <c r="F10" s="401"/>
    </row>
    <row r="12" spans="1:15" x14ac:dyDescent="0.3">
      <c r="C12" t="s">
        <v>282</v>
      </c>
    </row>
    <row r="13" spans="1:15" x14ac:dyDescent="0.3">
      <c r="C13" t="s">
        <v>281</v>
      </c>
    </row>
    <row r="14" spans="1:15" x14ac:dyDescent="0.3">
      <c r="C14" t="s">
        <v>280</v>
      </c>
    </row>
    <row r="15" spans="1:15" ht="15" thickBot="1" x14ac:dyDescent="0.35"/>
    <row r="16" spans="1:15" ht="15" thickBot="1" x14ac:dyDescent="0.35">
      <c r="C16" s="399" t="s">
        <v>10</v>
      </c>
      <c r="D16" s="400"/>
      <c r="E16" s="400"/>
      <c r="F16" s="400"/>
      <c r="G16" s="400"/>
      <c r="H16" s="400"/>
      <c r="I16" s="401"/>
      <c r="K16" s="399" t="s">
        <v>0</v>
      </c>
      <c r="L16" s="400"/>
      <c r="M16" s="400"/>
      <c r="N16" s="400"/>
      <c r="O16" s="401"/>
    </row>
    <row r="18" spans="3:9" ht="86.4" x14ac:dyDescent="0.3">
      <c r="C18" t="s">
        <v>279</v>
      </c>
      <c r="D18" s="71" t="s">
        <v>278</v>
      </c>
      <c r="E18" s="71" t="s">
        <v>277</v>
      </c>
      <c r="F18" s="71" t="s">
        <v>276</v>
      </c>
      <c r="G18" s="71" t="s">
        <v>275</v>
      </c>
      <c r="H18" s="71" t="s">
        <v>274</v>
      </c>
      <c r="I18" s="71" t="s">
        <v>273</v>
      </c>
    </row>
    <row r="19" spans="3:9" x14ac:dyDescent="0.3">
      <c r="C19" t="s">
        <v>272</v>
      </c>
      <c r="D19" s="70">
        <v>200000</v>
      </c>
      <c r="E19" s="70">
        <v>7000000</v>
      </c>
      <c r="F19" s="70">
        <v>344500</v>
      </c>
      <c r="G19" s="70">
        <v>9225000</v>
      </c>
      <c r="H19" s="70">
        <v>12500000</v>
      </c>
      <c r="I19">
        <v>1.1000000000000001</v>
      </c>
    </row>
    <row r="20" spans="3:9" x14ac:dyDescent="0.3">
      <c r="C20" t="s">
        <v>271</v>
      </c>
      <c r="D20" s="70">
        <v>350000</v>
      </c>
      <c r="E20" s="70">
        <v>8808400</v>
      </c>
      <c r="F20" s="70">
        <v>435000</v>
      </c>
      <c r="G20" s="70">
        <v>8362500</v>
      </c>
      <c r="H20" s="70">
        <v>11500000</v>
      </c>
      <c r="I20">
        <v>2.2999999999999998</v>
      </c>
    </row>
    <row r="21" spans="3:9" x14ac:dyDescent="0.3">
      <c r="C21" t="s">
        <v>270</v>
      </c>
      <c r="D21" s="70">
        <v>600000</v>
      </c>
      <c r="E21" s="70">
        <v>10005500</v>
      </c>
      <c r="F21" s="70">
        <v>760000</v>
      </c>
      <c r="G21" s="70">
        <v>7800000</v>
      </c>
      <c r="H21" s="70">
        <v>11000000</v>
      </c>
      <c r="I21">
        <v>2.8</v>
      </c>
    </row>
    <row r="22" spans="3:9" x14ac:dyDescent="0.3">
      <c r="C22" t="s">
        <v>269</v>
      </c>
      <c r="D22" s="70">
        <v>820000</v>
      </c>
      <c r="E22" s="70">
        <v>6450000</v>
      </c>
      <c r="F22" s="70">
        <v>732000</v>
      </c>
      <c r="G22" s="70">
        <v>7260000</v>
      </c>
      <c r="H22" s="70">
        <v>10500000</v>
      </c>
      <c r="I22">
        <v>3.4</v>
      </c>
    </row>
    <row r="23" spans="3:9" x14ac:dyDescent="0.3">
      <c r="C23" t="s">
        <v>268</v>
      </c>
      <c r="D23" s="70">
        <v>850000</v>
      </c>
      <c r="E23" s="70">
        <v>7050000</v>
      </c>
      <c r="F23" s="70">
        <v>900000</v>
      </c>
      <c r="G23" s="70">
        <v>7050000</v>
      </c>
      <c r="H23" s="70">
        <v>10250000</v>
      </c>
      <c r="I23">
        <v>3.6</v>
      </c>
    </row>
    <row r="26" spans="3:9" x14ac:dyDescent="0.3">
      <c r="C26" t="s">
        <v>221</v>
      </c>
    </row>
    <row r="27" spans="3:9" x14ac:dyDescent="0.3">
      <c r="E27" t="s">
        <v>220</v>
      </c>
      <c r="F27" t="s">
        <v>219</v>
      </c>
    </row>
    <row r="28" spans="3:9" x14ac:dyDescent="0.3">
      <c r="C28" t="s">
        <v>218</v>
      </c>
      <c r="D28" t="s">
        <v>7</v>
      </c>
      <c r="E28" t="s">
        <v>217</v>
      </c>
      <c r="F28" t="s">
        <v>217</v>
      </c>
    </row>
    <row r="29" spans="3:9" x14ac:dyDescent="0.3">
      <c r="C29" t="s">
        <v>216</v>
      </c>
      <c r="D29" t="s">
        <v>215</v>
      </c>
      <c r="E29">
        <v>1</v>
      </c>
      <c r="F29">
        <v>0.5</v>
      </c>
    </row>
    <row r="30" spans="3:9" x14ac:dyDescent="0.3">
      <c r="C30" t="s">
        <v>216</v>
      </c>
      <c r="D30" t="s">
        <v>214</v>
      </c>
      <c r="E30">
        <v>1.6</v>
      </c>
      <c r="F30">
        <v>1</v>
      </c>
    </row>
    <row r="31" spans="3:9" x14ac:dyDescent="0.3">
      <c r="C31" t="s">
        <v>216</v>
      </c>
      <c r="D31" t="s">
        <v>213</v>
      </c>
      <c r="E31">
        <v>2.5</v>
      </c>
      <c r="F31">
        <v>2.1</v>
      </c>
    </row>
    <row r="32" spans="3:9" x14ac:dyDescent="0.3">
      <c r="C32" t="s">
        <v>216</v>
      </c>
      <c r="D32" t="s">
        <v>212</v>
      </c>
      <c r="E32">
        <v>3</v>
      </c>
      <c r="F32">
        <v>2.6</v>
      </c>
    </row>
    <row r="33" spans="3:6" x14ac:dyDescent="0.3">
      <c r="C33" t="s">
        <v>216</v>
      </c>
      <c r="D33" t="s">
        <v>170</v>
      </c>
      <c r="E33">
        <v>4</v>
      </c>
      <c r="F33">
        <v>3.7</v>
      </c>
    </row>
    <row r="34" spans="3:6" x14ac:dyDescent="0.3">
      <c r="C34" t="s">
        <v>216</v>
      </c>
      <c r="D34" t="s">
        <v>210</v>
      </c>
      <c r="E34">
        <v>5</v>
      </c>
      <c r="F34">
        <v>4.8</v>
      </c>
    </row>
    <row r="35" spans="3:6" x14ac:dyDescent="0.3">
      <c r="C35" t="s">
        <v>211</v>
      </c>
      <c r="D35" t="s">
        <v>215</v>
      </c>
      <c r="E35">
        <v>1</v>
      </c>
      <c r="F35">
        <v>0.5</v>
      </c>
    </row>
    <row r="36" spans="3:6" x14ac:dyDescent="0.3">
      <c r="C36" t="s">
        <v>211</v>
      </c>
      <c r="D36" t="s">
        <v>214</v>
      </c>
      <c r="E36">
        <v>1.4</v>
      </c>
      <c r="F36">
        <v>1</v>
      </c>
    </row>
    <row r="37" spans="3:6" x14ac:dyDescent="0.3">
      <c r="C37" t="s">
        <v>211</v>
      </c>
      <c r="D37" t="s">
        <v>213</v>
      </c>
      <c r="E37">
        <v>2.6</v>
      </c>
      <c r="F37">
        <v>2.1</v>
      </c>
    </row>
    <row r="38" spans="3:6" x14ac:dyDescent="0.3">
      <c r="C38" t="s">
        <v>211</v>
      </c>
      <c r="D38" t="s">
        <v>212</v>
      </c>
      <c r="E38">
        <v>3.4</v>
      </c>
      <c r="F38">
        <v>3</v>
      </c>
    </row>
    <row r="39" spans="3:6" x14ac:dyDescent="0.3">
      <c r="C39" t="s">
        <v>211</v>
      </c>
      <c r="D39" t="s">
        <v>170</v>
      </c>
      <c r="E39">
        <v>4.5</v>
      </c>
      <c r="F39">
        <v>4.2</v>
      </c>
    </row>
    <row r="40" spans="3:6" x14ac:dyDescent="0.3">
      <c r="C40" t="s">
        <v>211</v>
      </c>
      <c r="D40" t="s">
        <v>210</v>
      </c>
      <c r="E40">
        <v>5.5</v>
      </c>
      <c r="F40">
        <v>5.3</v>
      </c>
    </row>
  </sheetData>
  <mergeCells count="3">
    <mergeCell ref="C10:F10"/>
    <mergeCell ref="C16:I16"/>
    <mergeCell ref="K16:O1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3B59-5927-4817-B2CA-E8686C296787}">
  <sheetPr>
    <tabColor theme="9" tint="0.59999389629810485"/>
  </sheetPr>
  <dimension ref="A1:S40"/>
  <sheetViews>
    <sheetView workbookViewId="0">
      <selection activeCell="O51" sqref="O51"/>
    </sheetView>
  </sheetViews>
  <sheetFormatPr defaultRowHeight="14.4" x14ac:dyDescent="0.3"/>
  <cols>
    <col min="4" max="4" width="10.33203125" customWidth="1"/>
    <col min="5" max="7" width="13.33203125" customWidth="1"/>
    <col min="8" max="8" width="12.6640625" customWidth="1"/>
    <col min="9" max="9" width="10.33203125" customWidth="1"/>
    <col min="10" max="11" width="9.109375" bestFit="1" customWidth="1"/>
    <col min="12" max="12" width="9" bestFit="1" customWidth="1"/>
    <col min="13" max="13" width="11.5546875" bestFit="1" customWidth="1"/>
    <col min="14" max="14" width="10.33203125" customWidth="1"/>
    <col min="15" max="15" width="10.5546875" bestFit="1" customWidth="1"/>
    <col min="16" max="16" width="11.5546875" bestFit="1" customWidth="1"/>
  </cols>
  <sheetData>
    <row r="1" spans="1:15" ht="15" thickBot="1" x14ac:dyDescent="0.35">
      <c r="A1" t="s">
        <v>283</v>
      </c>
      <c r="G1" s="10" t="s">
        <v>16</v>
      </c>
      <c r="H1" s="9"/>
    </row>
    <row r="2" spans="1:15" x14ac:dyDescent="0.3">
      <c r="G2" s="8" t="s">
        <v>15</v>
      </c>
      <c r="H2" s="8"/>
    </row>
    <row r="3" spans="1:15" ht="15" thickBot="1" x14ac:dyDescent="0.35">
      <c r="G3" s="7" t="s">
        <v>14</v>
      </c>
      <c r="H3" s="7"/>
    </row>
    <row r="4" spans="1:15" ht="15.6" thickTop="1" thickBot="1" x14ac:dyDescent="0.35">
      <c r="G4" s="6" t="s">
        <v>13</v>
      </c>
      <c r="H4" s="6"/>
    </row>
    <row r="5" spans="1:15" ht="15" thickTop="1" x14ac:dyDescent="0.3">
      <c r="G5" s="5" t="s">
        <v>12</v>
      </c>
      <c r="H5" s="4"/>
    </row>
    <row r="9" spans="1:15" ht="15" thickBot="1" x14ac:dyDescent="0.35"/>
    <row r="10" spans="1:15" ht="15" thickBot="1" x14ac:dyDescent="0.35">
      <c r="C10" s="399" t="s">
        <v>3</v>
      </c>
      <c r="D10" s="400"/>
      <c r="E10" s="400"/>
      <c r="F10" s="401"/>
    </row>
    <row r="12" spans="1:15" x14ac:dyDescent="0.3">
      <c r="C12" t="s">
        <v>282</v>
      </c>
    </row>
    <row r="13" spans="1:15" x14ac:dyDescent="0.3">
      <c r="C13" t="s">
        <v>281</v>
      </c>
    </row>
    <row r="14" spans="1:15" x14ac:dyDescent="0.3">
      <c r="C14" t="s">
        <v>280</v>
      </c>
    </row>
    <row r="15" spans="1:15" ht="15" thickBot="1" x14ac:dyDescent="0.35"/>
    <row r="16" spans="1:15" ht="15" thickBot="1" x14ac:dyDescent="0.35">
      <c r="C16" s="399" t="s">
        <v>10</v>
      </c>
      <c r="D16" s="400"/>
      <c r="E16" s="400"/>
      <c r="F16" s="400"/>
      <c r="G16" s="400"/>
      <c r="H16" s="400"/>
      <c r="I16" s="401"/>
      <c r="K16" s="399" t="s">
        <v>0</v>
      </c>
      <c r="L16" s="400"/>
      <c r="M16" s="400"/>
      <c r="N16" s="400"/>
      <c r="O16" s="401"/>
    </row>
    <row r="18" spans="3:19" ht="86.4" x14ac:dyDescent="0.3">
      <c r="C18" t="s">
        <v>279</v>
      </c>
      <c r="D18" s="71" t="s">
        <v>278</v>
      </c>
      <c r="E18" s="71" t="s">
        <v>277</v>
      </c>
      <c r="F18" s="71" t="s">
        <v>276</v>
      </c>
      <c r="G18" s="71" t="s">
        <v>275</v>
      </c>
      <c r="H18" s="71" t="s">
        <v>274</v>
      </c>
      <c r="I18" s="71" t="s">
        <v>273</v>
      </c>
    </row>
    <row r="19" spans="3:19" x14ac:dyDescent="0.3">
      <c r="C19" t="s">
        <v>272</v>
      </c>
      <c r="D19" s="70">
        <v>200000</v>
      </c>
      <c r="E19" s="70">
        <v>7000000</v>
      </c>
      <c r="F19" s="70">
        <v>344500</v>
      </c>
      <c r="G19" s="70">
        <v>9225000</v>
      </c>
      <c r="H19" s="70">
        <v>12500000</v>
      </c>
      <c r="I19">
        <v>1.1000000000000001</v>
      </c>
    </row>
    <row r="20" spans="3:19" x14ac:dyDescent="0.3">
      <c r="C20" t="s">
        <v>271</v>
      </c>
      <c r="D20" s="70">
        <v>350000</v>
      </c>
      <c r="E20" s="70">
        <v>8808400</v>
      </c>
      <c r="F20" s="70">
        <v>435000</v>
      </c>
      <c r="G20" s="70">
        <v>8362500</v>
      </c>
      <c r="H20" s="70">
        <v>11500000</v>
      </c>
      <c r="I20">
        <v>2.2999999999999998</v>
      </c>
    </row>
    <row r="21" spans="3:19" x14ac:dyDescent="0.3">
      <c r="C21" t="s">
        <v>270</v>
      </c>
      <c r="D21" s="70">
        <v>600000</v>
      </c>
      <c r="E21" s="70">
        <v>10005500</v>
      </c>
      <c r="F21" s="70">
        <v>760000</v>
      </c>
      <c r="G21" s="70">
        <v>7800000</v>
      </c>
      <c r="H21" s="70">
        <v>11000000</v>
      </c>
      <c r="I21">
        <v>2.8</v>
      </c>
    </row>
    <row r="22" spans="3:19" x14ac:dyDescent="0.3">
      <c r="C22" t="s">
        <v>269</v>
      </c>
      <c r="D22" s="70">
        <v>820000</v>
      </c>
      <c r="E22" s="70">
        <v>6450000</v>
      </c>
      <c r="F22" s="70">
        <v>732000</v>
      </c>
      <c r="G22" s="70">
        <v>7260000</v>
      </c>
      <c r="H22" s="70">
        <v>10500000</v>
      </c>
      <c r="I22">
        <v>3.4</v>
      </c>
    </row>
    <row r="23" spans="3:19" x14ac:dyDescent="0.3">
      <c r="C23" t="s">
        <v>268</v>
      </c>
      <c r="D23" s="70">
        <v>850000</v>
      </c>
      <c r="E23" s="70">
        <v>7050000</v>
      </c>
      <c r="F23" s="70">
        <v>900000</v>
      </c>
      <c r="G23" s="70">
        <v>7050000</v>
      </c>
      <c r="H23" s="70">
        <v>10250000</v>
      </c>
      <c r="I23">
        <v>3.6</v>
      </c>
    </row>
    <row r="25" spans="3:19" x14ac:dyDescent="0.3">
      <c r="P25" t="s">
        <v>643</v>
      </c>
      <c r="Q25" t="s">
        <v>642</v>
      </c>
      <c r="R25" t="s">
        <v>641</v>
      </c>
      <c r="S25" t="s">
        <v>640</v>
      </c>
    </row>
    <row r="26" spans="3:19" x14ac:dyDescent="0.3">
      <c r="C26" t="s">
        <v>221</v>
      </c>
    </row>
    <row r="27" spans="3:19" x14ac:dyDescent="0.3">
      <c r="E27" t="s">
        <v>220</v>
      </c>
      <c r="F27" t="s">
        <v>219</v>
      </c>
      <c r="K27" t="s">
        <v>279</v>
      </c>
      <c r="L27" t="s">
        <v>639</v>
      </c>
      <c r="M27" t="s">
        <v>638</v>
      </c>
      <c r="N27" t="s">
        <v>637</v>
      </c>
      <c r="O27" t="s">
        <v>636</v>
      </c>
      <c r="P27" t="s">
        <v>547</v>
      </c>
      <c r="Q27" t="s">
        <v>635</v>
      </c>
      <c r="R27" t="s">
        <v>634</v>
      </c>
      <c r="S27" t="s">
        <v>633</v>
      </c>
    </row>
    <row r="28" spans="3:19" x14ac:dyDescent="0.3">
      <c r="C28" t="s">
        <v>218</v>
      </c>
      <c r="D28" t="s">
        <v>7</v>
      </c>
      <c r="E28" t="s">
        <v>217</v>
      </c>
      <c r="F28" t="s">
        <v>217</v>
      </c>
      <c r="K28" t="s">
        <v>272</v>
      </c>
      <c r="L28" s="75">
        <f t="shared" ref="L28:P32" si="0">D19</f>
        <v>200000</v>
      </c>
      <c r="M28" s="75">
        <f t="shared" si="0"/>
        <v>7000000</v>
      </c>
      <c r="N28" s="75">
        <f t="shared" si="0"/>
        <v>344500</v>
      </c>
      <c r="O28" s="75">
        <f t="shared" si="0"/>
        <v>9225000</v>
      </c>
      <c r="P28" s="75">
        <f t="shared" si="0"/>
        <v>12500000</v>
      </c>
      <c r="Q28" s="11">
        <f>(L28+M28)/P28</f>
        <v>0.57599999999999996</v>
      </c>
      <c r="R28" s="11">
        <f>(N28+O28)/P28</f>
        <v>0.76556000000000002</v>
      </c>
      <c r="S28" s="182">
        <f>I19/$F$37</f>
        <v>0.52380952380952384</v>
      </c>
    </row>
    <row r="29" spans="3:19" x14ac:dyDescent="0.3">
      <c r="C29" t="s">
        <v>216</v>
      </c>
      <c r="D29" t="s">
        <v>215</v>
      </c>
      <c r="E29">
        <v>1</v>
      </c>
      <c r="F29">
        <v>0.5</v>
      </c>
      <c r="K29" t="s">
        <v>271</v>
      </c>
      <c r="L29" s="75">
        <f t="shared" si="0"/>
        <v>350000</v>
      </c>
      <c r="M29" s="75">
        <f t="shared" si="0"/>
        <v>8808400</v>
      </c>
      <c r="N29" s="75">
        <f t="shared" si="0"/>
        <v>435000</v>
      </c>
      <c r="O29" s="75">
        <f t="shared" si="0"/>
        <v>8362500</v>
      </c>
      <c r="P29" s="75">
        <f t="shared" si="0"/>
        <v>11500000</v>
      </c>
      <c r="Q29" s="11">
        <f>(L29+M29)/P29</f>
        <v>0.79638260869565214</v>
      </c>
      <c r="R29" s="11">
        <f>(N29+O29)/P29</f>
        <v>0.76500000000000001</v>
      </c>
      <c r="S29" s="182">
        <f>I20/$F$37</f>
        <v>1.0952380952380951</v>
      </c>
    </row>
    <row r="30" spans="3:19" x14ac:dyDescent="0.3">
      <c r="C30" t="s">
        <v>216</v>
      </c>
      <c r="D30" t="s">
        <v>214</v>
      </c>
      <c r="E30">
        <v>1.6</v>
      </c>
      <c r="F30">
        <v>1</v>
      </c>
      <c r="K30" t="s">
        <v>270</v>
      </c>
      <c r="L30" s="75">
        <f t="shared" si="0"/>
        <v>600000</v>
      </c>
      <c r="M30" s="75">
        <f t="shared" si="0"/>
        <v>10005500</v>
      </c>
      <c r="N30" s="75">
        <f t="shared" si="0"/>
        <v>760000</v>
      </c>
      <c r="O30" s="75">
        <f t="shared" si="0"/>
        <v>7800000</v>
      </c>
      <c r="P30" s="75">
        <f t="shared" si="0"/>
        <v>11000000</v>
      </c>
      <c r="Q30" s="11">
        <f>(L30+M30)/P30</f>
        <v>0.96413636363636368</v>
      </c>
      <c r="R30" s="11">
        <f>(N30+O30)/P30</f>
        <v>0.7781818181818182</v>
      </c>
      <c r="S30" s="182">
        <f>I21/$F$37</f>
        <v>1.3333333333333333</v>
      </c>
    </row>
    <row r="31" spans="3:19" x14ac:dyDescent="0.3">
      <c r="C31" t="s">
        <v>216</v>
      </c>
      <c r="D31" t="s">
        <v>213</v>
      </c>
      <c r="E31">
        <v>2.5</v>
      </c>
      <c r="F31">
        <v>2.1</v>
      </c>
      <c r="K31" t="s">
        <v>269</v>
      </c>
      <c r="L31" s="75">
        <f t="shared" si="0"/>
        <v>820000</v>
      </c>
      <c r="M31" s="75">
        <f t="shared" si="0"/>
        <v>6450000</v>
      </c>
      <c r="N31" s="75">
        <f t="shared" si="0"/>
        <v>732000</v>
      </c>
      <c r="O31" s="75">
        <f t="shared" si="0"/>
        <v>7260000</v>
      </c>
      <c r="P31" s="75">
        <f t="shared" si="0"/>
        <v>10500000</v>
      </c>
      <c r="Q31" s="11">
        <f>(L31+M31)/P31</f>
        <v>0.69238095238095243</v>
      </c>
      <c r="R31" s="11">
        <f>(N31+O31)/P31</f>
        <v>0.76114285714285712</v>
      </c>
      <c r="S31" s="182">
        <f>I22/$F$37</f>
        <v>1.6190476190476188</v>
      </c>
    </row>
    <row r="32" spans="3:19" x14ac:dyDescent="0.3">
      <c r="C32" t="s">
        <v>216</v>
      </c>
      <c r="D32" t="s">
        <v>212</v>
      </c>
      <c r="E32">
        <v>3</v>
      </c>
      <c r="F32">
        <v>2.6</v>
      </c>
      <c r="K32" t="s">
        <v>268</v>
      </c>
      <c r="L32" s="75">
        <f t="shared" si="0"/>
        <v>850000</v>
      </c>
      <c r="M32" s="75">
        <f t="shared" si="0"/>
        <v>7050000</v>
      </c>
      <c r="N32" s="75">
        <f t="shared" si="0"/>
        <v>900000</v>
      </c>
      <c r="O32" s="75">
        <f t="shared" si="0"/>
        <v>7050000</v>
      </c>
      <c r="P32" s="75">
        <f t="shared" si="0"/>
        <v>10250000</v>
      </c>
      <c r="Q32" s="11">
        <f>(L32+M32)/P32</f>
        <v>0.77073170731707319</v>
      </c>
      <c r="R32" s="11">
        <f>(N32+O32)/P32</f>
        <v>0.775609756097561</v>
      </c>
      <c r="S32" s="182">
        <f>I23/$F$37</f>
        <v>1.7142857142857142</v>
      </c>
    </row>
    <row r="33" spans="3:6" x14ac:dyDescent="0.3">
      <c r="C33" t="s">
        <v>216</v>
      </c>
      <c r="D33" t="s">
        <v>170</v>
      </c>
      <c r="E33">
        <v>4</v>
      </c>
      <c r="F33">
        <v>3.7</v>
      </c>
    </row>
    <row r="34" spans="3:6" x14ac:dyDescent="0.3">
      <c r="C34" t="s">
        <v>216</v>
      </c>
      <c r="D34" t="s">
        <v>210</v>
      </c>
      <c r="E34">
        <v>5</v>
      </c>
      <c r="F34">
        <v>4.8</v>
      </c>
    </row>
    <row r="35" spans="3:6" x14ac:dyDescent="0.3">
      <c r="C35" t="s">
        <v>211</v>
      </c>
      <c r="D35" t="s">
        <v>215</v>
      </c>
      <c r="E35">
        <v>1</v>
      </c>
      <c r="F35">
        <v>0.5</v>
      </c>
    </row>
    <row r="36" spans="3:6" x14ac:dyDescent="0.3">
      <c r="C36" t="s">
        <v>211</v>
      </c>
      <c r="D36" t="s">
        <v>214</v>
      </c>
      <c r="E36">
        <v>1.4</v>
      </c>
      <c r="F36">
        <v>1</v>
      </c>
    </row>
    <row r="37" spans="3:6" x14ac:dyDescent="0.3">
      <c r="C37" t="s">
        <v>211</v>
      </c>
      <c r="D37" t="s">
        <v>213</v>
      </c>
      <c r="E37">
        <v>2.6</v>
      </c>
      <c r="F37">
        <v>2.1</v>
      </c>
    </row>
    <row r="38" spans="3:6" x14ac:dyDescent="0.3">
      <c r="C38" t="s">
        <v>211</v>
      </c>
      <c r="D38" t="s">
        <v>212</v>
      </c>
      <c r="E38">
        <v>3.4</v>
      </c>
      <c r="F38">
        <v>3</v>
      </c>
    </row>
    <row r="39" spans="3:6" x14ac:dyDescent="0.3">
      <c r="C39" t="s">
        <v>211</v>
      </c>
      <c r="D39" t="s">
        <v>170</v>
      </c>
      <c r="E39">
        <v>4.5</v>
      </c>
      <c r="F39">
        <v>4.2</v>
      </c>
    </row>
    <row r="40" spans="3:6" x14ac:dyDescent="0.3">
      <c r="C40" t="s">
        <v>211</v>
      </c>
      <c r="D40" t="s">
        <v>210</v>
      </c>
      <c r="E40">
        <v>5.5</v>
      </c>
      <c r="F40">
        <v>5.3</v>
      </c>
    </row>
  </sheetData>
  <mergeCells count="3">
    <mergeCell ref="C10:F10"/>
    <mergeCell ref="C16:I16"/>
    <mergeCell ref="K16:O1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B7E-7798-4CFA-879A-D952CDAAC266}">
  <sheetPr>
    <tabColor theme="5" tint="0.39997558519241921"/>
  </sheetPr>
  <dimension ref="A1:P29"/>
  <sheetViews>
    <sheetView workbookViewId="0">
      <selection activeCell="U46" sqref="U46"/>
    </sheetView>
  </sheetViews>
  <sheetFormatPr defaultRowHeight="14.4" x14ac:dyDescent="0.3"/>
  <cols>
    <col min="1" max="1" width="3.5546875" customWidth="1"/>
    <col min="2" max="2" width="2.88671875" customWidth="1"/>
    <col min="3" max="10" width="12.109375" customWidth="1"/>
  </cols>
  <sheetData>
    <row r="1" spans="1:10" ht="15" thickBot="1" x14ac:dyDescent="0.35">
      <c r="A1" t="s">
        <v>292</v>
      </c>
      <c r="D1" s="69"/>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399" t="s">
        <v>3</v>
      </c>
      <c r="D10" s="400"/>
      <c r="E10" s="400"/>
      <c r="F10" s="400"/>
      <c r="G10" s="400"/>
      <c r="H10" s="401"/>
    </row>
    <row r="21" spans="3:16" ht="15" thickBot="1" x14ac:dyDescent="0.35"/>
    <row r="22" spans="3:16" ht="15" thickBot="1" x14ac:dyDescent="0.35">
      <c r="C22" s="399" t="s">
        <v>10</v>
      </c>
      <c r="D22" s="400"/>
      <c r="E22" s="400"/>
      <c r="F22" s="400"/>
      <c r="G22" s="400"/>
      <c r="H22" s="400"/>
      <c r="I22" s="401"/>
      <c r="L22" s="399" t="s">
        <v>0</v>
      </c>
      <c r="M22" s="400"/>
      <c r="N22" s="400"/>
      <c r="O22" s="400"/>
      <c r="P22" s="401"/>
    </row>
    <row r="24" spans="3:16" ht="43.2" x14ac:dyDescent="0.3">
      <c r="C24" s="72" t="s">
        <v>291</v>
      </c>
      <c r="D24" s="72" t="s">
        <v>290</v>
      </c>
      <c r="E24" s="72" t="s">
        <v>289</v>
      </c>
      <c r="F24" s="72" t="s">
        <v>288</v>
      </c>
      <c r="G24" s="72" t="s">
        <v>287</v>
      </c>
      <c r="H24" s="72" t="s">
        <v>286</v>
      </c>
      <c r="I24" s="72" t="s">
        <v>285</v>
      </c>
      <c r="J24" s="72" t="s">
        <v>284</v>
      </c>
    </row>
    <row r="25" spans="3:16" x14ac:dyDescent="0.3">
      <c r="C25">
        <v>2018</v>
      </c>
      <c r="D25" s="62">
        <v>12479</v>
      </c>
      <c r="E25" s="62">
        <v>2439</v>
      </c>
      <c r="F25">
        <v>149</v>
      </c>
      <c r="G25">
        <v>674</v>
      </c>
      <c r="H25">
        <v>649</v>
      </c>
      <c r="I25">
        <v>85</v>
      </c>
      <c r="J25">
        <v>4</v>
      </c>
    </row>
    <row r="26" spans="3:16" x14ac:dyDescent="0.3">
      <c r="C26">
        <v>2019</v>
      </c>
      <c r="D26" s="62">
        <v>11011</v>
      </c>
      <c r="E26" s="62">
        <v>2999</v>
      </c>
      <c r="F26">
        <v>154</v>
      </c>
      <c r="G26">
        <v>639</v>
      </c>
      <c r="H26">
        <v>551</v>
      </c>
      <c r="I26">
        <v>96</v>
      </c>
      <c r="J26">
        <v>3</v>
      </c>
    </row>
    <row r="27" spans="3:16" x14ac:dyDescent="0.3">
      <c r="C27">
        <v>2020</v>
      </c>
      <c r="D27" s="62">
        <v>9670</v>
      </c>
      <c r="E27" s="62">
        <v>3451</v>
      </c>
      <c r="F27">
        <v>131</v>
      </c>
      <c r="G27">
        <v>571</v>
      </c>
      <c r="H27">
        <v>522</v>
      </c>
      <c r="I27">
        <v>124</v>
      </c>
      <c r="J27">
        <v>3</v>
      </c>
    </row>
    <row r="28" spans="3:16" x14ac:dyDescent="0.3">
      <c r="C28">
        <v>2021</v>
      </c>
      <c r="D28" s="62">
        <v>8450</v>
      </c>
      <c r="E28" s="62">
        <v>3845</v>
      </c>
      <c r="F28">
        <v>111</v>
      </c>
      <c r="G28">
        <v>541</v>
      </c>
      <c r="H28">
        <v>465</v>
      </c>
      <c r="I28">
        <v>131</v>
      </c>
      <c r="J28">
        <v>3</v>
      </c>
    </row>
    <row r="29" spans="3:16" x14ac:dyDescent="0.3">
      <c r="C29">
        <v>2022</v>
      </c>
      <c r="D29" s="62">
        <v>7336</v>
      </c>
      <c r="E29" s="62">
        <v>4177</v>
      </c>
      <c r="F29">
        <v>138</v>
      </c>
      <c r="G29">
        <v>477</v>
      </c>
      <c r="H29">
        <v>425</v>
      </c>
      <c r="I29">
        <v>155</v>
      </c>
      <c r="J29">
        <v>2</v>
      </c>
    </row>
  </sheetData>
  <mergeCells count="3">
    <mergeCell ref="C10:H10"/>
    <mergeCell ref="C22:I22"/>
    <mergeCell ref="L22:P2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68AE-79E6-4226-BB06-83D14A22F81E}">
  <sheetPr>
    <tabColor theme="9" tint="0.59999389629810485"/>
  </sheetPr>
  <dimension ref="A1:P53"/>
  <sheetViews>
    <sheetView workbookViewId="0">
      <selection activeCell="O51" sqref="O51"/>
    </sheetView>
  </sheetViews>
  <sheetFormatPr defaultRowHeight="14.4" x14ac:dyDescent="0.3"/>
  <cols>
    <col min="1" max="1" width="3.5546875" customWidth="1"/>
    <col min="2" max="2" width="2.88671875" customWidth="1"/>
    <col min="3" max="10" width="12.109375" customWidth="1"/>
  </cols>
  <sheetData>
    <row r="1" spans="1:10" ht="15" thickBot="1" x14ac:dyDescent="0.35">
      <c r="A1" t="s">
        <v>292</v>
      </c>
      <c r="D1" s="69"/>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399" t="s">
        <v>3</v>
      </c>
      <c r="D10" s="400"/>
      <c r="E10" s="400"/>
      <c r="F10" s="400"/>
      <c r="G10" s="400"/>
      <c r="H10" s="401"/>
    </row>
    <row r="21" spans="3:16" ht="15" thickBot="1" x14ac:dyDescent="0.35"/>
    <row r="22" spans="3:16" ht="15" thickBot="1" x14ac:dyDescent="0.35">
      <c r="C22" s="399" t="s">
        <v>10</v>
      </c>
      <c r="D22" s="400"/>
      <c r="E22" s="400"/>
      <c r="F22" s="400"/>
      <c r="G22" s="400"/>
      <c r="H22" s="400"/>
      <c r="I22" s="401"/>
      <c r="L22" s="399" t="s">
        <v>0</v>
      </c>
      <c r="M22" s="400"/>
      <c r="N22" s="400"/>
      <c r="O22" s="400"/>
      <c r="P22" s="401"/>
    </row>
    <row r="24" spans="3:16" ht="43.2" x14ac:dyDescent="0.3">
      <c r="C24" s="72" t="s">
        <v>291</v>
      </c>
      <c r="D24" s="72" t="s">
        <v>290</v>
      </c>
      <c r="E24" s="72" t="s">
        <v>289</v>
      </c>
      <c r="F24" s="72" t="s">
        <v>288</v>
      </c>
      <c r="G24" s="72" t="s">
        <v>287</v>
      </c>
      <c r="H24" s="72" t="s">
        <v>286</v>
      </c>
      <c r="I24" s="72" t="s">
        <v>285</v>
      </c>
      <c r="J24" s="72" t="s">
        <v>284</v>
      </c>
      <c r="L24" s="72" t="s">
        <v>279</v>
      </c>
      <c r="M24" s="72" t="s">
        <v>649</v>
      </c>
      <c r="N24" s="72" t="s">
        <v>648</v>
      </c>
      <c r="O24" s="72" t="s">
        <v>647</v>
      </c>
    </row>
    <row r="25" spans="3:16" x14ac:dyDescent="0.3">
      <c r="C25">
        <v>2018</v>
      </c>
      <c r="D25" s="62">
        <v>12479</v>
      </c>
      <c r="E25" s="62">
        <v>2439</v>
      </c>
      <c r="F25">
        <v>149</v>
      </c>
      <c r="G25">
        <v>674</v>
      </c>
      <c r="H25">
        <v>649</v>
      </c>
      <c r="I25">
        <v>85</v>
      </c>
      <c r="J25">
        <v>4</v>
      </c>
      <c r="L25">
        <f>C25</f>
        <v>2018</v>
      </c>
      <c r="M25" s="62">
        <f>D25+E25</f>
        <v>14918</v>
      </c>
      <c r="N25">
        <f>F25</f>
        <v>149</v>
      </c>
      <c r="O25" s="124">
        <f>N25/M25</f>
        <v>9.9879340394154713E-3</v>
      </c>
    </row>
    <row r="26" spans="3:16" x14ac:dyDescent="0.3">
      <c r="C26">
        <v>2019</v>
      </c>
      <c r="D26" s="62">
        <v>11011</v>
      </c>
      <c r="E26" s="62">
        <v>2999</v>
      </c>
      <c r="F26">
        <v>154</v>
      </c>
      <c r="G26">
        <v>639</v>
      </c>
      <c r="H26">
        <v>551</v>
      </c>
      <c r="I26">
        <v>96</v>
      </c>
      <c r="J26">
        <v>3</v>
      </c>
      <c r="L26">
        <f>C26</f>
        <v>2019</v>
      </c>
      <c r="M26" s="62">
        <f>D26+E26</f>
        <v>14010</v>
      </c>
      <c r="N26">
        <f>F26</f>
        <v>154</v>
      </c>
      <c r="O26" s="124">
        <f>N26/M26</f>
        <v>1.099214846538187E-2</v>
      </c>
    </row>
    <row r="27" spans="3:16" x14ac:dyDescent="0.3">
      <c r="C27">
        <v>2020</v>
      </c>
      <c r="D27" s="62">
        <v>9670</v>
      </c>
      <c r="E27" s="62">
        <v>3451</v>
      </c>
      <c r="F27">
        <v>131</v>
      </c>
      <c r="G27">
        <v>571</v>
      </c>
      <c r="H27">
        <v>522</v>
      </c>
      <c r="I27">
        <v>124</v>
      </c>
      <c r="J27">
        <v>3</v>
      </c>
      <c r="L27">
        <f>C27</f>
        <v>2020</v>
      </c>
      <c r="M27" s="62">
        <f>D27+E27</f>
        <v>13121</v>
      </c>
      <c r="N27">
        <f>F27</f>
        <v>131</v>
      </c>
      <c r="O27" s="124">
        <f>N27/M27</f>
        <v>9.9839951223229945E-3</v>
      </c>
    </row>
    <row r="28" spans="3:16" x14ac:dyDescent="0.3">
      <c r="C28">
        <v>2021</v>
      </c>
      <c r="D28" s="62">
        <v>8450</v>
      </c>
      <c r="E28" s="62">
        <v>3845</v>
      </c>
      <c r="F28">
        <v>111</v>
      </c>
      <c r="G28">
        <v>541</v>
      </c>
      <c r="H28">
        <v>465</v>
      </c>
      <c r="I28">
        <v>131</v>
      </c>
      <c r="J28">
        <v>3</v>
      </c>
      <c r="L28">
        <f>C28</f>
        <v>2021</v>
      </c>
      <c r="M28" s="62">
        <f>D28+E28</f>
        <v>12295</v>
      </c>
      <c r="N28">
        <f>F28</f>
        <v>111</v>
      </c>
      <c r="O28" s="124">
        <f>N28/M28</f>
        <v>9.0280601870679142E-3</v>
      </c>
    </row>
    <row r="29" spans="3:16" x14ac:dyDescent="0.3">
      <c r="C29">
        <v>2022</v>
      </c>
      <c r="D29" s="62">
        <v>7336</v>
      </c>
      <c r="E29" s="62">
        <v>4177</v>
      </c>
      <c r="F29">
        <v>138</v>
      </c>
      <c r="G29">
        <v>477</v>
      </c>
      <c r="H29">
        <v>425</v>
      </c>
      <c r="I29">
        <v>155</v>
      </c>
      <c r="J29">
        <v>2</v>
      </c>
      <c r="L29">
        <f>C29</f>
        <v>2022</v>
      </c>
      <c r="M29" s="62">
        <f>D29+E29</f>
        <v>11513</v>
      </c>
      <c r="N29">
        <f>F29</f>
        <v>138</v>
      </c>
      <c r="O29" s="124">
        <f>N29/M29</f>
        <v>1.1986450099887084E-2</v>
      </c>
    </row>
    <row r="32" spans="3:16" ht="43.2" x14ac:dyDescent="0.3">
      <c r="L32" t="s">
        <v>279</v>
      </c>
      <c r="M32" s="72" t="s">
        <v>290</v>
      </c>
      <c r="N32" s="72" t="s">
        <v>287</v>
      </c>
      <c r="O32" s="72" t="s">
        <v>646</v>
      </c>
    </row>
    <row r="33" spans="12:15" x14ac:dyDescent="0.3">
      <c r="L33">
        <f t="shared" ref="L33:M37" si="0">C25</f>
        <v>2018</v>
      </c>
      <c r="M33" s="62">
        <f t="shared" si="0"/>
        <v>12479</v>
      </c>
      <c r="N33">
        <f>G25</f>
        <v>674</v>
      </c>
      <c r="O33" s="124">
        <f>N33/M33</f>
        <v>5.4010738039907046E-2</v>
      </c>
    </row>
    <row r="34" spans="12:15" x14ac:dyDescent="0.3">
      <c r="L34">
        <f t="shared" si="0"/>
        <v>2019</v>
      </c>
      <c r="M34" s="62">
        <f t="shared" si="0"/>
        <v>11011</v>
      </c>
      <c r="N34">
        <f>G26</f>
        <v>639</v>
      </c>
      <c r="O34" s="124">
        <f>N34/M34</f>
        <v>5.8032876214694398E-2</v>
      </c>
    </row>
    <row r="35" spans="12:15" x14ac:dyDescent="0.3">
      <c r="L35">
        <f t="shared" si="0"/>
        <v>2020</v>
      </c>
      <c r="M35" s="62">
        <f t="shared" si="0"/>
        <v>9670</v>
      </c>
      <c r="N35">
        <f>G27</f>
        <v>571</v>
      </c>
      <c r="O35" s="124">
        <f>N35/M35</f>
        <v>5.9048603929679422E-2</v>
      </c>
    </row>
    <row r="36" spans="12:15" x14ac:dyDescent="0.3">
      <c r="L36">
        <f t="shared" si="0"/>
        <v>2021</v>
      </c>
      <c r="M36" s="62">
        <f t="shared" si="0"/>
        <v>8450</v>
      </c>
      <c r="N36">
        <f>G28</f>
        <v>541</v>
      </c>
      <c r="O36" s="124">
        <f>N36/M36</f>
        <v>6.4023668639053261E-2</v>
      </c>
    </row>
    <row r="37" spans="12:15" x14ac:dyDescent="0.3">
      <c r="L37">
        <f t="shared" si="0"/>
        <v>2022</v>
      </c>
      <c r="M37" s="62">
        <f t="shared" si="0"/>
        <v>7336</v>
      </c>
      <c r="N37">
        <f>G29</f>
        <v>477</v>
      </c>
      <c r="O37" s="124">
        <f>N37/M37</f>
        <v>6.502181025081788E-2</v>
      </c>
    </row>
    <row r="40" spans="12:15" ht="43.2" x14ac:dyDescent="0.3">
      <c r="L40" t="s">
        <v>279</v>
      </c>
      <c r="M40" s="72" t="s">
        <v>289</v>
      </c>
      <c r="N40" s="72" t="s">
        <v>285</v>
      </c>
      <c r="O40" s="72" t="s">
        <v>645</v>
      </c>
    </row>
    <row r="41" spans="12:15" x14ac:dyDescent="0.3">
      <c r="L41">
        <f>C25</f>
        <v>2018</v>
      </c>
      <c r="M41" s="62">
        <f>E25</f>
        <v>2439</v>
      </c>
      <c r="N41">
        <f>I25</f>
        <v>85</v>
      </c>
      <c r="O41" s="124">
        <f>N41/M41</f>
        <v>3.4850348503485035E-2</v>
      </c>
    </row>
    <row r="42" spans="12:15" x14ac:dyDescent="0.3">
      <c r="L42">
        <f>C26</f>
        <v>2019</v>
      </c>
      <c r="M42" s="62">
        <f>E26</f>
        <v>2999</v>
      </c>
      <c r="N42">
        <f>I26</f>
        <v>96</v>
      </c>
      <c r="O42" s="124">
        <f>N42/M42</f>
        <v>3.2010670223407804E-2</v>
      </c>
    </row>
    <row r="43" spans="12:15" x14ac:dyDescent="0.3">
      <c r="L43">
        <f>C27</f>
        <v>2020</v>
      </c>
      <c r="M43" s="62">
        <f>E27</f>
        <v>3451</v>
      </c>
      <c r="N43">
        <f>I27</f>
        <v>124</v>
      </c>
      <c r="O43" s="124">
        <f>N43/M43</f>
        <v>3.5931614024920316E-2</v>
      </c>
    </row>
    <row r="44" spans="12:15" x14ac:dyDescent="0.3">
      <c r="L44">
        <f>C28</f>
        <v>2021</v>
      </c>
      <c r="M44" s="62">
        <f>E28</f>
        <v>3845</v>
      </c>
      <c r="N44">
        <f>I28</f>
        <v>131</v>
      </c>
      <c r="O44" s="124">
        <f>N44/M44</f>
        <v>3.4070221066319899E-2</v>
      </c>
    </row>
    <row r="45" spans="12:15" x14ac:dyDescent="0.3">
      <c r="L45">
        <f>C29</f>
        <v>2022</v>
      </c>
      <c r="M45" s="62">
        <f>E29</f>
        <v>4177</v>
      </c>
      <c r="N45">
        <f>I29</f>
        <v>155</v>
      </c>
      <c r="O45" s="124">
        <f>N45/M45</f>
        <v>3.7107972228872396E-2</v>
      </c>
    </row>
    <row r="48" spans="12:15" ht="43.2" x14ac:dyDescent="0.3">
      <c r="L48" t="s">
        <v>279</v>
      </c>
      <c r="M48" s="72" t="s">
        <v>290</v>
      </c>
      <c r="N48" s="72" t="s">
        <v>286</v>
      </c>
      <c r="O48" s="72" t="s">
        <v>644</v>
      </c>
    </row>
    <row r="49" spans="12:15" x14ac:dyDescent="0.3">
      <c r="L49">
        <f t="shared" ref="L49:M53" si="1">C25</f>
        <v>2018</v>
      </c>
      <c r="M49" s="62">
        <f t="shared" si="1"/>
        <v>12479</v>
      </c>
      <c r="N49">
        <f>H25</f>
        <v>649</v>
      </c>
      <c r="O49" s="124">
        <f>N49/M49</f>
        <v>5.200737238560782E-2</v>
      </c>
    </row>
    <row r="50" spans="12:15" x14ac:dyDescent="0.3">
      <c r="L50">
        <f t="shared" si="1"/>
        <v>2019</v>
      </c>
      <c r="M50" s="62">
        <f t="shared" si="1"/>
        <v>11011</v>
      </c>
      <c r="N50">
        <f>H26</f>
        <v>551</v>
      </c>
      <c r="O50" s="124">
        <f>N50/M50</f>
        <v>5.0040868222686406E-2</v>
      </c>
    </row>
    <row r="51" spans="12:15" x14ac:dyDescent="0.3">
      <c r="L51">
        <f t="shared" si="1"/>
        <v>2020</v>
      </c>
      <c r="M51" s="62">
        <f t="shared" si="1"/>
        <v>9670</v>
      </c>
      <c r="N51">
        <f>H27</f>
        <v>522</v>
      </c>
      <c r="O51" s="124">
        <f>N51/M51</f>
        <v>5.3981385729058945E-2</v>
      </c>
    </row>
    <row r="52" spans="12:15" x14ac:dyDescent="0.3">
      <c r="L52">
        <f t="shared" si="1"/>
        <v>2021</v>
      </c>
      <c r="M52" s="62">
        <f t="shared" si="1"/>
        <v>8450</v>
      </c>
      <c r="N52">
        <f>H28</f>
        <v>465</v>
      </c>
      <c r="O52" s="124">
        <f>N52/M52</f>
        <v>5.5029585798816567E-2</v>
      </c>
    </row>
    <row r="53" spans="12:15" x14ac:dyDescent="0.3">
      <c r="L53">
        <f t="shared" si="1"/>
        <v>2022</v>
      </c>
      <c r="M53" s="62">
        <f t="shared" si="1"/>
        <v>7336</v>
      </c>
      <c r="N53">
        <f>H29</f>
        <v>425</v>
      </c>
      <c r="O53" s="124">
        <f>N53/M53</f>
        <v>5.7933478735005456E-2</v>
      </c>
    </row>
  </sheetData>
  <mergeCells count="3">
    <mergeCell ref="C10:H10"/>
    <mergeCell ref="C22:I22"/>
    <mergeCell ref="L22:P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EF66E-DE72-471B-8B39-D737248A7624}">
  <sheetPr>
    <tabColor theme="5" tint="0.39997558519241921"/>
  </sheetPr>
  <dimension ref="A1:M47"/>
  <sheetViews>
    <sheetView workbookViewId="0">
      <selection activeCell="G45" sqref="G45"/>
    </sheetView>
  </sheetViews>
  <sheetFormatPr defaultRowHeight="14.4" x14ac:dyDescent="0.3"/>
  <cols>
    <col min="3" max="3" width="15.33203125" customWidth="1"/>
    <col min="4" max="4" width="20.6640625" customWidth="1"/>
    <col min="5" max="5" width="13.88671875" customWidth="1"/>
    <col min="11" max="11" width="9.88671875" bestFit="1" customWidth="1"/>
  </cols>
  <sheetData>
    <row r="1" spans="1:13" ht="15" thickBot="1" x14ac:dyDescent="0.35">
      <c r="A1" t="s">
        <v>17</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s="1">
        <v>0.04</v>
      </c>
      <c r="D12" t="s">
        <v>11</v>
      </c>
    </row>
    <row r="13" spans="1:13" ht="15" thickBot="1" x14ac:dyDescent="0.35"/>
    <row r="14" spans="1:13" ht="15" thickBot="1" x14ac:dyDescent="0.35">
      <c r="C14" s="399" t="s">
        <v>10</v>
      </c>
      <c r="D14" s="400"/>
      <c r="E14" s="400"/>
      <c r="F14" s="400"/>
      <c r="G14" s="401"/>
      <c r="I14" s="399" t="s">
        <v>0</v>
      </c>
      <c r="J14" s="400"/>
      <c r="K14" s="400"/>
      <c r="L14" s="400"/>
      <c r="M14" s="401"/>
    </row>
    <row r="15" spans="1:13" s="2" customFormat="1" x14ac:dyDescent="0.3">
      <c r="A15" s="2" t="s">
        <v>9</v>
      </c>
    </row>
    <row r="18" spans="3:5" x14ac:dyDescent="0.3">
      <c r="C18" t="s">
        <v>8</v>
      </c>
    </row>
    <row r="19" spans="3:5" x14ac:dyDescent="0.3">
      <c r="C19" t="s">
        <v>7</v>
      </c>
      <c r="D19" t="s">
        <v>6</v>
      </c>
      <c r="E19" t="s">
        <v>5</v>
      </c>
    </row>
    <row r="20" spans="3:5" x14ac:dyDescent="0.3">
      <c r="C20">
        <v>40</v>
      </c>
      <c r="D20">
        <v>3.6869000000000001</v>
      </c>
      <c r="E20" s="3">
        <v>0.3</v>
      </c>
    </row>
    <row r="21" spans="3:5" x14ac:dyDescent="0.3">
      <c r="C21">
        <v>41</v>
      </c>
      <c r="D21">
        <v>4.1143999999999998</v>
      </c>
      <c r="E21" s="3">
        <v>0.2</v>
      </c>
    </row>
    <row r="22" spans="3:5" x14ac:dyDescent="0.3">
      <c r="C22">
        <v>42</v>
      </c>
      <c r="D22">
        <v>4.6026999999999996</v>
      </c>
      <c r="E22" s="3">
        <v>0.1</v>
      </c>
    </row>
    <row r="23" spans="3:5" x14ac:dyDescent="0.3">
      <c r="C23">
        <v>43</v>
      </c>
      <c r="D23">
        <v>5.1402000000000001</v>
      </c>
      <c r="E23" s="3">
        <v>0.1</v>
      </c>
    </row>
    <row r="24" spans="3:5" x14ac:dyDescent="0.3">
      <c r="C24">
        <v>44</v>
      </c>
      <c r="D24">
        <v>5.6783999999999999</v>
      </c>
      <c r="E24" s="3">
        <v>0.1</v>
      </c>
    </row>
    <row r="25" spans="3:5" x14ac:dyDescent="0.3">
      <c r="C25">
        <v>45</v>
      </c>
      <c r="D25">
        <v>6.2865000000000002</v>
      </c>
      <c r="E25" s="3">
        <v>0.1</v>
      </c>
    </row>
    <row r="26" spans="3:5" x14ac:dyDescent="0.3">
      <c r="C26">
        <v>46</v>
      </c>
      <c r="D26">
        <v>6.9787999999999997</v>
      </c>
      <c r="E26" s="3">
        <v>0.1</v>
      </c>
    </row>
    <row r="27" spans="3:5" x14ac:dyDescent="0.3">
      <c r="C27">
        <v>47</v>
      </c>
      <c r="D27">
        <v>7.7689000000000004</v>
      </c>
      <c r="E27" s="3">
        <v>0.1</v>
      </c>
    </row>
    <row r="28" spans="3:5" x14ac:dyDescent="0.3">
      <c r="C28">
        <v>48</v>
      </c>
      <c r="D28">
        <v>8.7133000000000003</v>
      </c>
      <c r="E28" s="3">
        <v>0.1</v>
      </c>
    </row>
    <row r="29" spans="3:5" x14ac:dyDescent="0.3">
      <c r="C29">
        <v>49</v>
      </c>
      <c r="D29">
        <v>9.7365999999999993</v>
      </c>
      <c r="E29" s="3">
        <v>0.1</v>
      </c>
    </row>
    <row r="30" spans="3:5" x14ac:dyDescent="0.3">
      <c r="C30">
        <v>50</v>
      </c>
      <c r="D30">
        <v>10.931900000000001</v>
      </c>
      <c r="E30" s="3">
        <v>0.1</v>
      </c>
    </row>
    <row r="31" spans="3:5" x14ac:dyDescent="0.3">
      <c r="E31" s="3"/>
    </row>
    <row r="34" spans="1:6" s="2" customFormat="1" x14ac:dyDescent="0.3">
      <c r="A34" s="2" t="s">
        <v>4</v>
      </c>
    </row>
    <row r="39" spans="1:6" ht="15" thickBot="1" x14ac:dyDescent="0.35"/>
    <row r="40" spans="1:6" ht="15" thickBot="1" x14ac:dyDescent="0.35">
      <c r="B40" s="399" t="s">
        <v>3</v>
      </c>
      <c r="C40" s="400"/>
      <c r="D40" s="400"/>
      <c r="E40" s="401"/>
    </row>
    <row r="43" spans="1:6" x14ac:dyDescent="0.3">
      <c r="B43" s="1">
        <v>0.35</v>
      </c>
      <c r="C43" t="s">
        <v>2</v>
      </c>
    </row>
    <row r="44" spans="1:6" x14ac:dyDescent="0.3">
      <c r="B44" s="1">
        <v>1.3</v>
      </c>
      <c r="C44" t="s">
        <v>1</v>
      </c>
    </row>
    <row r="46" spans="1:6" ht="15" thickBot="1" x14ac:dyDescent="0.35">
      <c r="B46" s="1"/>
    </row>
    <row r="47" spans="1:6" ht="15" thickBot="1" x14ac:dyDescent="0.35">
      <c r="B47" s="399" t="s">
        <v>0</v>
      </c>
      <c r="C47" s="400"/>
      <c r="D47" s="400"/>
      <c r="E47" s="400"/>
      <c r="F47" s="401"/>
    </row>
  </sheetData>
  <mergeCells count="5">
    <mergeCell ref="B47:F47"/>
    <mergeCell ref="C10:F10"/>
    <mergeCell ref="C14:G14"/>
    <mergeCell ref="I14:M14"/>
    <mergeCell ref="B40:E4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FE582-54FD-488C-8685-88067E487D20}">
  <sheetPr>
    <tabColor theme="5" tint="0.39997558519241921"/>
  </sheetPr>
  <dimension ref="A1:O60"/>
  <sheetViews>
    <sheetView workbookViewId="0">
      <selection activeCell="U46" sqref="U46"/>
    </sheetView>
  </sheetViews>
  <sheetFormatPr defaultRowHeight="14.4" x14ac:dyDescent="0.3"/>
  <cols>
    <col min="7" max="7" width="10.5546875" bestFit="1" customWidth="1"/>
    <col min="11" max="17" width="13.33203125" customWidth="1"/>
  </cols>
  <sheetData>
    <row r="1" spans="1:10" ht="15" thickBot="1" x14ac:dyDescent="0.35">
      <c r="A1" t="s">
        <v>302</v>
      </c>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399" t="s">
        <v>3</v>
      </c>
      <c r="D10" s="400"/>
      <c r="E10" s="400"/>
      <c r="F10" s="400"/>
      <c r="G10" s="400"/>
      <c r="H10" s="401"/>
    </row>
    <row r="12" spans="1:10" x14ac:dyDescent="0.3">
      <c r="C12">
        <v>0.05</v>
      </c>
      <c r="D12" t="s">
        <v>301</v>
      </c>
    </row>
    <row r="13" spans="1:10" x14ac:dyDescent="0.3">
      <c r="C13">
        <v>0.65</v>
      </c>
      <c r="D13" t="s">
        <v>300</v>
      </c>
    </row>
    <row r="14" spans="1:10" x14ac:dyDescent="0.3">
      <c r="D14" t="s">
        <v>299</v>
      </c>
    </row>
    <row r="15" spans="1:10" x14ac:dyDescent="0.3">
      <c r="D15" t="s">
        <v>298</v>
      </c>
    </row>
    <row r="22" spans="1:15" ht="15" thickBot="1" x14ac:dyDescent="0.35"/>
    <row r="23" spans="1:15" ht="15" thickBot="1" x14ac:dyDescent="0.35">
      <c r="C23" s="399" t="s">
        <v>10</v>
      </c>
      <c r="D23" s="400"/>
      <c r="E23" s="400"/>
      <c r="F23" s="400"/>
      <c r="G23" s="400"/>
      <c r="H23" s="400"/>
      <c r="I23" s="401"/>
      <c r="K23" s="399" t="s">
        <v>0</v>
      </c>
      <c r="L23" s="400"/>
      <c r="M23" s="400"/>
      <c r="N23" s="400"/>
      <c r="O23" s="401"/>
    </row>
    <row r="24" spans="1:15" s="2" customFormat="1" x14ac:dyDescent="0.3">
      <c r="A24" s="2" t="s">
        <v>4</v>
      </c>
    </row>
    <row r="25" spans="1:15" x14ac:dyDescent="0.3">
      <c r="C25" t="s">
        <v>189</v>
      </c>
      <c r="D25" t="s">
        <v>146</v>
      </c>
      <c r="E25" t="s">
        <v>297</v>
      </c>
      <c r="F25" t="s">
        <v>293</v>
      </c>
      <c r="G25" t="s">
        <v>199</v>
      </c>
      <c r="H25" t="s">
        <v>296</v>
      </c>
      <c r="I25" t="s">
        <v>295</v>
      </c>
    </row>
    <row r="26" spans="1:15" x14ac:dyDescent="0.3">
      <c r="C26">
        <v>1</v>
      </c>
      <c r="D26">
        <v>80</v>
      </c>
      <c r="E26">
        <v>56.24</v>
      </c>
      <c r="F26" s="73">
        <v>0.23</v>
      </c>
      <c r="G26" s="74">
        <v>1809</v>
      </c>
      <c r="H26" s="73">
        <v>7.6999999999999999E-2</v>
      </c>
      <c r="I26" s="73">
        <v>-2.9000000000000001E-2</v>
      </c>
    </row>
    <row r="27" spans="1:15" x14ac:dyDescent="0.3">
      <c r="C27">
        <v>2</v>
      </c>
      <c r="D27">
        <v>81</v>
      </c>
      <c r="E27">
        <v>62.36</v>
      </c>
      <c r="F27" s="73">
        <v>0.2</v>
      </c>
      <c r="G27" s="74">
        <v>1833</v>
      </c>
      <c r="H27" s="73">
        <v>0.08</v>
      </c>
      <c r="I27" s="73">
        <v>-2.9000000000000001E-2</v>
      </c>
    </row>
    <row r="28" spans="1:15" x14ac:dyDescent="0.3">
      <c r="C28">
        <v>3</v>
      </c>
      <c r="D28">
        <v>82</v>
      </c>
      <c r="E28">
        <v>69.23</v>
      </c>
      <c r="F28" s="73">
        <v>0.2</v>
      </c>
      <c r="G28" s="74">
        <v>1856</v>
      </c>
      <c r="H28" s="73">
        <v>8.2000000000000003E-2</v>
      </c>
      <c r="I28" s="73">
        <v>-2.9000000000000001E-2</v>
      </c>
    </row>
    <row r="29" spans="1:15" x14ac:dyDescent="0.3">
      <c r="C29">
        <v>4</v>
      </c>
      <c r="D29">
        <v>83</v>
      </c>
      <c r="E29">
        <v>76.88</v>
      </c>
      <c r="F29" s="73">
        <v>0.2</v>
      </c>
      <c r="G29" s="74">
        <v>1878</v>
      </c>
      <c r="H29" s="73">
        <v>8.4000000000000005E-2</v>
      </c>
      <c r="I29" s="73">
        <v>-2.9000000000000001E-2</v>
      </c>
    </row>
    <row r="30" spans="1:15" x14ac:dyDescent="0.3">
      <c r="C30">
        <v>5</v>
      </c>
      <c r="D30">
        <v>84</v>
      </c>
      <c r="E30">
        <v>85.45</v>
      </c>
      <c r="F30" s="73">
        <v>0.2</v>
      </c>
      <c r="G30" s="74">
        <v>1899</v>
      </c>
      <c r="H30" s="73">
        <v>8.5999999999999993E-2</v>
      </c>
      <c r="I30" s="73">
        <v>-2.9000000000000001E-2</v>
      </c>
    </row>
    <row r="31" spans="1:15" x14ac:dyDescent="0.3">
      <c r="C31">
        <v>6</v>
      </c>
      <c r="D31">
        <v>85</v>
      </c>
      <c r="E31">
        <v>95.06</v>
      </c>
      <c r="F31" s="73">
        <v>0.15</v>
      </c>
      <c r="G31" s="74">
        <v>1920</v>
      </c>
      <c r="H31" s="73">
        <v>8.8999999999999996E-2</v>
      </c>
      <c r="I31" s="73">
        <v>-2.9000000000000001E-2</v>
      </c>
    </row>
    <row r="32" spans="1:15" x14ac:dyDescent="0.3">
      <c r="C32">
        <v>7</v>
      </c>
      <c r="D32">
        <v>86</v>
      </c>
      <c r="E32">
        <v>105.83</v>
      </c>
      <c r="F32" s="73">
        <v>0.15</v>
      </c>
      <c r="G32" s="74">
        <v>1940</v>
      </c>
      <c r="H32" s="73">
        <v>9.0999999999999998E-2</v>
      </c>
      <c r="I32" s="73">
        <v>-2.9000000000000001E-2</v>
      </c>
    </row>
    <row r="33" spans="3:9" x14ac:dyDescent="0.3">
      <c r="C33">
        <v>8</v>
      </c>
      <c r="D33">
        <v>87</v>
      </c>
      <c r="E33">
        <v>117.84</v>
      </c>
      <c r="F33" s="73">
        <v>0.15</v>
      </c>
      <c r="G33" s="74">
        <v>1961</v>
      </c>
      <c r="H33" s="73">
        <v>9.2999999999999999E-2</v>
      </c>
      <c r="I33" s="73">
        <v>-2.9000000000000001E-2</v>
      </c>
    </row>
    <row r="34" spans="3:9" x14ac:dyDescent="0.3">
      <c r="C34">
        <v>9</v>
      </c>
      <c r="D34">
        <v>88</v>
      </c>
      <c r="E34">
        <v>131.13999999999999</v>
      </c>
      <c r="F34" s="73">
        <v>0.15</v>
      </c>
      <c r="G34" s="74">
        <v>1981</v>
      </c>
      <c r="H34" s="73">
        <v>9.6000000000000002E-2</v>
      </c>
      <c r="I34" s="73">
        <v>-2.9000000000000001E-2</v>
      </c>
    </row>
    <row r="35" spans="3:9" x14ac:dyDescent="0.3">
      <c r="C35">
        <v>10</v>
      </c>
      <c r="D35">
        <v>89</v>
      </c>
      <c r="E35">
        <v>145.75</v>
      </c>
      <c r="F35" s="73">
        <v>0.15</v>
      </c>
      <c r="G35" s="74">
        <v>2002</v>
      </c>
      <c r="H35" s="73">
        <v>9.6000000000000002E-2</v>
      </c>
      <c r="I35" s="73">
        <v>-2.9000000000000001E-2</v>
      </c>
    </row>
    <row r="36" spans="3:9" x14ac:dyDescent="0.3">
      <c r="C36">
        <v>11</v>
      </c>
      <c r="D36">
        <v>90</v>
      </c>
      <c r="E36">
        <v>161.68</v>
      </c>
      <c r="F36" s="73">
        <v>0.12</v>
      </c>
      <c r="G36" s="74">
        <v>2024</v>
      </c>
      <c r="H36" s="73">
        <v>9.6000000000000002E-2</v>
      </c>
      <c r="I36" s="73">
        <v>-2.9000000000000001E-2</v>
      </c>
    </row>
    <row r="37" spans="3:9" x14ac:dyDescent="0.3">
      <c r="C37">
        <v>12</v>
      </c>
      <c r="D37">
        <v>91</v>
      </c>
      <c r="E37">
        <v>178.91</v>
      </c>
      <c r="F37" s="73">
        <v>0.12</v>
      </c>
      <c r="G37" s="74">
        <v>2045</v>
      </c>
      <c r="H37" s="73">
        <v>9.6000000000000002E-2</v>
      </c>
      <c r="I37" s="73">
        <v>-2.9000000000000001E-2</v>
      </c>
    </row>
    <row r="38" spans="3:9" x14ac:dyDescent="0.3">
      <c r="C38">
        <v>13</v>
      </c>
      <c r="D38">
        <v>92</v>
      </c>
      <c r="E38">
        <v>197.41</v>
      </c>
      <c r="F38" s="73">
        <v>0.12</v>
      </c>
      <c r="G38" s="74">
        <v>2067</v>
      </c>
      <c r="H38" s="73">
        <v>9.6000000000000002E-2</v>
      </c>
      <c r="I38" s="73">
        <v>-2.9000000000000001E-2</v>
      </c>
    </row>
    <row r="39" spans="3:9" x14ac:dyDescent="0.3">
      <c r="C39">
        <v>14</v>
      </c>
      <c r="D39">
        <v>93</v>
      </c>
      <c r="E39">
        <v>217.15</v>
      </c>
      <c r="F39" s="73">
        <v>0.12</v>
      </c>
      <c r="G39" s="74">
        <v>2090</v>
      </c>
      <c r="H39" s="73">
        <v>9.6000000000000002E-2</v>
      </c>
      <c r="I39" s="73">
        <v>-2.9000000000000001E-2</v>
      </c>
    </row>
    <row r="40" spans="3:9" x14ac:dyDescent="0.3">
      <c r="C40">
        <v>15</v>
      </c>
      <c r="D40">
        <v>94</v>
      </c>
      <c r="E40">
        <v>238.08</v>
      </c>
      <c r="F40" s="73">
        <v>0.12</v>
      </c>
      <c r="G40" s="74">
        <v>2113</v>
      </c>
      <c r="H40" s="73">
        <v>9.6000000000000002E-2</v>
      </c>
      <c r="I40" s="73">
        <v>-2.9000000000000001E-2</v>
      </c>
    </row>
    <row r="41" spans="3:9" x14ac:dyDescent="0.3">
      <c r="C41">
        <v>16</v>
      </c>
      <c r="D41">
        <v>95</v>
      </c>
      <c r="E41">
        <v>258.82</v>
      </c>
      <c r="F41" s="73">
        <v>0.09</v>
      </c>
      <c r="G41" s="74">
        <v>2137</v>
      </c>
      <c r="H41" s="73">
        <v>9.6000000000000002E-2</v>
      </c>
      <c r="I41" s="73">
        <v>-2.9000000000000001E-2</v>
      </c>
    </row>
    <row r="42" spans="3:9" x14ac:dyDescent="0.3">
      <c r="C42">
        <v>17</v>
      </c>
      <c r="D42">
        <v>96</v>
      </c>
      <c r="E42">
        <v>278.97000000000003</v>
      </c>
      <c r="F42" s="73">
        <v>0.09</v>
      </c>
      <c r="G42" s="74">
        <v>2162</v>
      </c>
      <c r="H42" s="73">
        <v>9.6000000000000002E-2</v>
      </c>
      <c r="I42" s="73">
        <v>-2.9000000000000001E-2</v>
      </c>
    </row>
    <row r="43" spans="3:9" x14ac:dyDescent="0.3">
      <c r="C43">
        <v>18</v>
      </c>
      <c r="D43">
        <v>97</v>
      </c>
      <c r="E43">
        <v>298.08999999999997</v>
      </c>
      <c r="F43" s="73">
        <v>0.09</v>
      </c>
      <c r="G43" s="74">
        <v>2186</v>
      </c>
      <c r="H43" s="73">
        <v>9.6000000000000002E-2</v>
      </c>
      <c r="I43" s="73">
        <v>-2.9000000000000001E-2</v>
      </c>
    </row>
    <row r="44" spans="3:9" x14ac:dyDescent="0.3">
      <c r="C44">
        <v>19</v>
      </c>
      <c r="D44">
        <v>98</v>
      </c>
      <c r="E44">
        <v>315.76</v>
      </c>
      <c r="F44" s="73">
        <v>0.09</v>
      </c>
      <c r="G44" s="74">
        <v>2212</v>
      </c>
      <c r="H44" s="73">
        <v>9.6000000000000002E-2</v>
      </c>
      <c r="I44" s="73">
        <v>-2.9000000000000001E-2</v>
      </c>
    </row>
    <row r="45" spans="3:9" x14ac:dyDescent="0.3">
      <c r="C45">
        <v>20</v>
      </c>
      <c r="D45">
        <v>99</v>
      </c>
      <c r="E45">
        <v>1000</v>
      </c>
      <c r="F45" s="73">
        <v>0.09</v>
      </c>
      <c r="G45" s="74">
        <v>2238</v>
      </c>
      <c r="H45" s="73">
        <v>9.6000000000000002E-2</v>
      </c>
      <c r="I45" s="73">
        <v>-2.9000000000000001E-2</v>
      </c>
    </row>
    <row r="52" spans="1:6" s="2" customFormat="1" x14ac:dyDescent="0.3">
      <c r="A52" s="2" t="s">
        <v>294</v>
      </c>
    </row>
    <row r="55" spans="1:6" x14ac:dyDescent="0.3">
      <c r="C55" t="s">
        <v>189</v>
      </c>
      <c r="D55" t="s">
        <v>293</v>
      </c>
      <c r="E55" t="s">
        <v>146</v>
      </c>
      <c r="F55" t="s">
        <v>199</v>
      </c>
    </row>
    <row r="56" spans="1:6" x14ac:dyDescent="0.3">
      <c r="C56">
        <v>1</v>
      </c>
      <c r="D56" s="3">
        <v>0.13</v>
      </c>
      <c r="E56">
        <v>80</v>
      </c>
      <c r="F56" s="61">
        <v>1920.06</v>
      </c>
    </row>
    <row r="57" spans="1:6" x14ac:dyDescent="0.3">
      <c r="C57">
        <v>2</v>
      </c>
      <c r="D57" s="3">
        <v>0.156</v>
      </c>
      <c r="E57">
        <v>81</v>
      </c>
      <c r="F57" s="61">
        <v>2307.58</v>
      </c>
    </row>
    <row r="58" spans="1:6" x14ac:dyDescent="0.3">
      <c r="C58">
        <v>3</v>
      </c>
      <c r="D58" s="3">
        <v>0.153</v>
      </c>
      <c r="E58">
        <v>82</v>
      </c>
      <c r="F58" s="61">
        <v>2553.67</v>
      </c>
    </row>
    <row r="59" spans="1:6" x14ac:dyDescent="0.3">
      <c r="C59">
        <v>4</v>
      </c>
      <c r="D59" s="3">
        <v>0.128</v>
      </c>
      <c r="E59">
        <v>83</v>
      </c>
      <c r="F59" s="61">
        <v>2804.44</v>
      </c>
    </row>
    <row r="60" spans="1:6" x14ac:dyDescent="0.3">
      <c r="C60">
        <v>5</v>
      </c>
      <c r="D60" s="3">
        <v>0.105</v>
      </c>
      <c r="E60">
        <v>84</v>
      </c>
      <c r="F60" s="61">
        <v>2950.31</v>
      </c>
    </row>
  </sheetData>
  <mergeCells count="3">
    <mergeCell ref="C10:H10"/>
    <mergeCell ref="C23:I23"/>
    <mergeCell ref="K23:O2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4B9E-3799-45F3-B76B-CEE0FBF0B0A2}">
  <sheetPr>
    <tabColor theme="9" tint="0.59999389629810485"/>
  </sheetPr>
  <dimension ref="A1:R60"/>
  <sheetViews>
    <sheetView workbookViewId="0">
      <selection activeCell="O51" sqref="O51"/>
    </sheetView>
  </sheetViews>
  <sheetFormatPr defaultRowHeight="14.4" x14ac:dyDescent="0.3"/>
  <cols>
    <col min="7" max="7" width="10.5546875" bestFit="1" customWidth="1"/>
    <col min="11" max="17" width="13.33203125" customWidth="1"/>
  </cols>
  <sheetData>
    <row r="1" spans="1:10" ht="15" thickBot="1" x14ac:dyDescent="0.35">
      <c r="A1" t="s">
        <v>302</v>
      </c>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399" t="s">
        <v>3</v>
      </c>
      <c r="D10" s="400"/>
      <c r="E10" s="400"/>
      <c r="F10" s="400"/>
      <c r="G10" s="400"/>
      <c r="H10" s="401"/>
    </row>
    <row r="12" spans="1:10" x14ac:dyDescent="0.3">
      <c r="C12">
        <v>0.05</v>
      </c>
      <c r="D12" t="s">
        <v>301</v>
      </c>
    </row>
    <row r="13" spans="1:10" x14ac:dyDescent="0.3">
      <c r="C13">
        <v>0.65</v>
      </c>
      <c r="D13" t="s">
        <v>300</v>
      </c>
    </row>
    <row r="14" spans="1:10" x14ac:dyDescent="0.3">
      <c r="D14" t="s">
        <v>299</v>
      </c>
    </row>
    <row r="15" spans="1:10" x14ac:dyDescent="0.3">
      <c r="D15" t="s">
        <v>298</v>
      </c>
    </row>
    <row r="22" spans="1:17" ht="15" thickBot="1" x14ac:dyDescent="0.35"/>
    <row r="23" spans="1:17" ht="15" thickBot="1" x14ac:dyDescent="0.35">
      <c r="C23" s="399" t="s">
        <v>10</v>
      </c>
      <c r="D23" s="400"/>
      <c r="E23" s="400"/>
      <c r="F23" s="400"/>
      <c r="G23" s="400"/>
      <c r="H23" s="400"/>
      <c r="I23" s="401"/>
      <c r="K23" s="399" t="s">
        <v>0</v>
      </c>
      <c r="L23" s="400"/>
      <c r="M23" s="400"/>
      <c r="N23" s="400"/>
      <c r="O23" s="401"/>
    </row>
    <row r="24" spans="1:17" s="2" customFormat="1" x14ac:dyDescent="0.3">
      <c r="A24" s="2" t="s">
        <v>4</v>
      </c>
    </row>
    <row r="25" spans="1:17" ht="28.8" x14ac:dyDescent="0.3">
      <c r="C25" t="s">
        <v>189</v>
      </c>
      <c r="D25" t="s">
        <v>146</v>
      </c>
      <c r="E25" t="s">
        <v>297</v>
      </c>
      <c r="F25" t="s">
        <v>293</v>
      </c>
      <c r="G25" t="s">
        <v>199</v>
      </c>
      <c r="H25" t="s">
        <v>296</v>
      </c>
      <c r="I25" t="s">
        <v>295</v>
      </c>
      <c r="K25" s="64" t="s">
        <v>592</v>
      </c>
      <c r="L25" s="64" t="s">
        <v>26</v>
      </c>
      <c r="M25" s="64" t="s">
        <v>187</v>
      </c>
      <c r="N25" s="64" t="s">
        <v>591</v>
      </c>
      <c r="O25" s="64"/>
      <c r="P25" s="64" t="s">
        <v>589</v>
      </c>
      <c r="Q25" s="64" t="s">
        <v>187</v>
      </c>
    </row>
    <row r="26" spans="1:17" x14ac:dyDescent="0.3">
      <c r="C26">
        <v>1</v>
      </c>
      <c r="D26">
        <v>80</v>
      </c>
      <c r="E26">
        <v>56.24</v>
      </c>
      <c r="F26" s="73">
        <v>0.23</v>
      </c>
      <c r="G26" s="74">
        <v>1809</v>
      </c>
      <c r="H26" s="73">
        <v>7.6999999999999999E-2</v>
      </c>
      <c r="I26" s="73">
        <v>-2.9000000000000001E-2</v>
      </c>
      <c r="K26" s="122">
        <f t="shared" ref="K26:K45" si="0">(1/(1+$C$12))^(C26-0.5)</f>
        <v>0.9759000729485332</v>
      </c>
      <c r="L26" s="122">
        <v>1</v>
      </c>
      <c r="M26" s="161">
        <f>1000*L26</f>
        <v>1000</v>
      </c>
      <c r="N26" s="36">
        <f t="shared" ref="N26:N45" si="1">G26*(1+H26)*M26*(1+I26)</f>
        <v>1891792.503</v>
      </c>
      <c r="O26" s="162"/>
      <c r="P26" s="122">
        <f t="shared" ref="P26:P45" si="2">(1/(1+$C$12))^(C26-1)</f>
        <v>1</v>
      </c>
      <c r="Q26" s="162">
        <f t="shared" ref="Q26:Q45" si="3">M26</f>
        <v>1000</v>
      </c>
    </row>
    <row r="27" spans="1:17" x14ac:dyDescent="0.3">
      <c r="C27">
        <v>2</v>
      </c>
      <c r="D27">
        <v>81</v>
      </c>
      <c r="E27">
        <v>62.36</v>
      </c>
      <c r="F27" s="73">
        <v>0.2</v>
      </c>
      <c r="G27" s="74">
        <v>1833</v>
      </c>
      <c r="H27" s="73">
        <v>0.08</v>
      </c>
      <c r="I27" s="73">
        <v>-2.9000000000000001E-2</v>
      </c>
      <c r="K27" s="122">
        <f t="shared" si="0"/>
        <v>0.92942864090336486</v>
      </c>
      <c r="L27" s="122">
        <f t="shared" ref="L27:L45" si="4">L26*(1-E26/1000)*(1-F26)</f>
        <v>0.7266952000000001</v>
      </c>
      <c r="M27" s="162">
        <f t="shared" ref="M27:M45" si="5">L27*1000</f>
        <v>726.69520000000011</v>
      </c>
      <c r="N27" s="36">
        <f t="shared" si="1"/>
        <v>1396875.6340418882</v>
      </c>
      <c r="P27" s="122">
        <f t="shared" si="2"/>
        <v>0.95238095238095233</v>
      </c>
      <c r="Q27" s="162">
        <f t="shared" si="3"/>
        <v>726.69520000000011</v>
      </c>
    </row>
    <row r="28" spans="1:17" x14ac:dyDescent="0.3">
      <c r="C28">
        <v>3</v>
      </c>
      <c r="D28">
        <v>82</v>
      </c>
      <c r="E28">
        <v>69.23</v>
      </c>
      <c r="F28" s="73">
        <v>0.2</v>
      </c>
      <c r="G28" s="74">
        <v>1856</v>
      </c>
      <c r="H28" s="73">
        <v>8.2000000000000003E-2</v>
      </c>
      <c r="I28" s="73">
        <v>-2.9000000000000001E-2</v>
      </c>
      <c r="K28" s="122">
        <f t="shared" si="0"/>
        <v>0.88517013419368074</v>
      </c>
      <c r="L28" s="122">
        <f t="shared" si="4"/>
        <v>0.54510278986240013</v>
      </c>
      <c r="M28" s="162">
        <f t="shared" si="5"/>
        <v>545.10278986240007</v>
      </c>
      <c r="N28" s="36">
        <f t="shared" si="1"/>
        <v>1062925.6009877517</v>
      </c>
      <c r="P28" s="122">
        <f t="shared" si="2"/>
        <v>0.90702947845804982</v>
      </c>
      <c r="Q28" s="162">
        <f t="shared" si="3"/>
        <v>545.10278986240007</v>
      </c>
    </row>
    <row r="29" spans="1:17" x14ac:dyDescent="0.3">
      <c r="C29">
        <v>4</v>
      </c>
      <c r="D29">
        <v>83</v>
      </c>
      <c r="E29">
        <v>76.88</v>
      </c>
      <c r="F29" s="73">
        <v>0.2</v>
      </c>
      <c r="G29" s="74">
        <v>1878</v>
      </c>
      <c r="H29" s="73">
        <v>8.4000000000000005E-2</v>
      </c>
      <c r="I29" s="73">
        <v>-2.9000000000000001E-2</v>
      </c>
      <c r="K29" s="122">
        <f t="shared" si="0"/>
        <v>0.84301917542255311</v>
      </c>
      <c r="L29" s="122">
        <f t="shared" si="4"/>
        <v>0.40589225897618092</v>
      </c>
      <c r="M29" s="162">
        <f t="shared" si="5"/>
        <v>405.89225897618093</v>
      </c>
      <c r="N29" s="36">
        <f t="shared" si="1"/>
        <v>802333.39463341527</v>
      </c>
      <c r="P29" s="122">
        <f t="shared" si="2"/>
        <v>0.86383759853147601</v>
      </c>
      <c r="Q29" s="162">
        <f t="shared" si="3"/>
        <v>405.89225897618093</v>
      </c>
    </row>
    <row r="30" spans="1:17" x14ac:dyDescent="0.3">
      <c r="C30">
        <v>5</v>
      </c>
      <c r="D30">
        <v>84</v>
      </c>
      <c r="E30">
        <v>85.45</v>
      </c>
      <c r="F30" s="73">
        <v>0.2</v>
      </c>
      <c r="G30" s="74">
        <v>1899</v>
      </c>
      <c r="H30" s="73">
        <v>8.5999999999999993E-2</v>
      </c>
      <c r="I30" s="73">
        <v>-2.9000000000000001E-2</v>
      </c>
      <c r="K30" s="122">
        <f t="shared" si="0"/>
        <v>0.8028754051643362</v>
      </c>
      <c r="L30" s="122">
        <f t="shared" si="4"/>
        <v>0.29974980968487375</v>
      </c>
      <c r="M30" s="162">
        <f t="shared" si="5"/>
        <v>299.74980968487375</v>
      </c>
      <c r="N30" s="36">
        <f t="shared" si="1"/>
        <v>600251.06036914769</v>
      </c>
      <c r="P30" s="122">
        <f t="shared" si="2"/>
        <v>0.82270247479188185</v>
      </c>
      <c r="Q30" s="162">
        <f t="shared" si="3"/>
        <v>299.74980968487375</v>
      </c>
    </row>
    <row r="31" spans="1:17" x14ac:dyDescent="0.3">
      <c r="C31">
        <v>6</v>
      </c>
      <c r="D31">
        <v>85</v>
      </c>
      <c r="E31">
        <v>95.06</v>
      </c>
      <c r="F31" s="73">
        <v>0.15</v>
      </c>
      <c r="G31" s="74">
        <v>1920</v>
      </c>
      <c r="H31" s="73">
        <v>8.8999999999999996E-2</v>
      </c>
      <c r="I31" s="73">
        <v>-2.9000000000000001E-2</v>
      </c>
      <c r="K31" s="122">
        <f t="shared" si="0"/>
        <v>0.7646432430136535</v>
      </c>
      <c r="L31" s="122">
        <f t="shared" si="4"/>
        <v>0.21930895075784101</v>
      </c>
      <c r="M31" s="162">
        <f t="shared" si="5"/>
        <v>219.30895075784102</v>
      </c>
      <c r="N31" s="36">
        <f t="shared" si="1"/>
        <v>445250.78669069859</v>
      </c>
      <c r="P31" s="122">
        <f t="shared" si="2"/>
        <v>0.78352616646845885</v>
      </c>
      <c r="Q31" s="162">
        <f t="shared" si="3"/>
        <v>219.30895075784102</v>
      </c>
    </row>
    <row r="32" spans="1:17" x14ac:dyDescent="0.3">
      <c r="C32">
        <v>7</v>
      </c>
      <c r="D32">
        <v>86</v>
      </c>
      <c r="E32">
        <v>105.83</v>
      </c>
      <c r="F32" s="73">
        <v>0.15</v>
      </c>
      <c r="G32" s="74">
        <v>1940</v>
      </c>
      <c r="H32" s="73">
        <v>9.0999999999999998E-2</v>
      </c>
      <c r="I32" s="73">
        <v>-2.9000000000000001E-2</v>
      </c>
      <c r="K32" s="122">
        <f t="shared" si="0"/>
        <v>0.72823166001300332</v>
      </c>
      <c r="L32" s="122">
        <f t="shared" si="4"/>
        <v>0.16869222561398053</v>
      </c>
      <c r="M32" s="162">
        <f t="shared" si="5"/>
        <v>168.69222561398053</v>
      </c>
      <c r="N32" s="36">
        <f t="shared" si="1"/>
        <v>346689.57174818491</v>
      </c>
      <c r="P32" s="122">
        <f t="shared" si="2"/>
        <v>0.7462153966366275</v>
      </c>
      <c r="Q32" s="162">
        <f t="shared" si="3"/>
        <v>168.69222561398053</v>
      </c>
    </row>
    <row r="33" spans="3:18" x14ac:dyDescent="0.3">
      <c r="C33">
        <v>8</v>
      </c>
      <c r="D33">
        <v>87</v>
      </c>
      <c r="E33">
        <v>117.84</v>
      </c>
      <c r="F33" s="73">
        <v>0.15</v>
      </c>
      <c r="G33" s="74">
        <v>1961</v>
      </c>
      <c r="H33" s="73">
        <v>9.2999999999999999E-2</v>
      </c>
      <c r="I33" s="73">
        <v>-2.9000000000000001E-2</v>
      </c>
      <c r="K33" s="122">
        <f t="shared" si="0"/>
        <v>0.69355396191714591</v>
      </c>
      <c r="L33" s="122">
        <f t="shared" si="4"/>
        <v>0.12821359827066503</v>
      </c>
      <c r="M33" s="162">
        <f t="shared" si="5"/>
        <v>128.21359827066502</v>
      </c>
      <c r="N33" s="36">
        <f t="shared" si="1"/>
        <v>266840.08738797053</v>
      </c>
      <c r="P33" s="122">
        <f t="shared" si="2"/>
        <v>0.71068133013012136</v>
      </c>
      <c r="Q33" s="162">
        <f t="shared" si="3"/>
        <v>128.21359827066502</v>
      </c>
    </row>
    <row r="34" spans="3:18" x14ac:dyDescent="0.3">
      <c r="C34">
        <v>9</v>
      </c>
      <c r="D34">
        <v>88</v>
      </c>
      <c r="E34">
        <v>131.13999999999999</v>
      </c>
      <c r="F34" s="73">
        <v>0.15</v>
      </c>
      <c r="G34" s="74">
        <v>1981</v>
      </c>
      <c r="H34" s="73">
        <v>9.6000000000000002E-2</v>
      </c>
      <c r="I34" s="73">
        <v>-2.9000000000000001E-2</v>
      </c>
      <c r="K34" s="122">
        <f t="shared" si="0"/>
        <v>0.6605275827782342</v>
      </c>
      <c r="L34" s="122">
        <f t="shared" si="4"/>
        <v>9.6139171672882384E-2</v>
      </c>
      <c r="M34" s="162">
        <f t="shared" si="5"/>
        <v>96.139171672882384</v>
      </c>
      <c r="N34" s="36">
        <f t="shared" si="1"/>
        <v>202681.74539235691</v>
      </c>
      <c r="P34" s="122">
        <f t="shared" si="2"/>
        <v>0.676839362028687</v>
      </c>
      <c r="Q34" s="162">
        <f t="shared" si="3"/>
        <v>96.139171672882384</v>
      </c>
    </row>
    <row r="35" spans="3:18" x14ac:dyDescent="0.3">
      <c r="C35">
        <v>10</v>
      </c>
      <c r="D35">
        <v>89</v>
      </c>
      <c r="E35">
        <v>145.75</v>
      </c>
      <c r="F35" s="73">
        <v>0.15</v>
      </c>
      <c r="G35" s="74">
        <v>2002</v>
      </c>
      <c r="H35" s="73">
        <v>9.6000000000000002E-2</v>
      </c>
      <c r="I35" s="73">
        <v>-2.9000000000000001E-2</v>
      </c>
      <c r="K35" s="122">
        <f t="shared" si="0"/>
        <v>0.62907388836022304</v>
      </c>
      <c r="L35" s="122">
        <f t="shared" si="4"/>
        <v>7.1001758594745487E-2</v>
      </c>
      <c r="M35" s="162">
        <f t="shared" si="5"/>
        <v>71.001758594745482</v>
      </c>
      <c r="N35" s="36">
        <f t="shared" si="1"/>
        <v>151273.53746438064</v>
      </c>
      <c r="P35" s="122">
        <f t="shared" si="2"/>
        <v>0.64460891621779715</v>
      </c>
      <c r="Q35" s="162">
        <f t="shared" si="3"/>
        <v>71.001758594745482</v>
      </c>
    </row>
    <row r="36" spans="3:18" x14ac:dyDescent="0.3">
      <c r="C36">
        <v>11</v>
      </c>
      <c r="D36">
        <v>90</v>
      </c>
      <c r="E36">
        <v>161.68</v>
      </c>
      <c r="F36" s="73">
        <v>0.12</v>
      </c>
      <c r="G36" s="74">
        <v>2024</v>
      </c>
      <c r="H36" s="73">
        <v>9.6000000000000002E-2</v>
      </c>
      <c r="I36" s="73">
        <v>-2.9000000000000001E-2</v>
      </c>
      <c r="K36" s="122">
        <f t="shared" si="0"/>
        <v>0.59911798891449808</v>
      </c>
      <c r="L36" s="122">
        <f t="shared" si="4"/>
        <v>5.1555264437627132E-2</v>
      </c>
      <c r="M36" s="162">
        <f t="shared" si="5"/>
        <v>51.55526443762713</v>
      </c>
      <c r="N36" s="36">
        <f t="shared" si="1"/>
        <v>111048.65709267769</v>
      </c>
      <c r="P36" s="122">
        <f t="shared" si="2"/>
        <v>0.6139132535407591</v>
      </c>
      <c r="Q36" s="162">
        <f t="shared" si="3"/>
        <v>51.55526443762713</v>
      </c>
    </row>
    <row r="37" spans="3:18" x14ac:dyDescent="0.3">
      <c r="C37">
        <v>12</v>
      </c>
      <c r="D37">
        <v>91</v>
      </c>
      <c r="E37">
        <v>178.91</v>
      </c>
      <c r="F37" s="73">
        <v>0.12</v>
      </c>
      <c r="G37" s="74">
        <v>2045</v>
      </c>
      <c r="H37" s="73">
        <v>9.6000000000000002E-2</v>
      </c>
      <c r="I37" s="73">
        <v>-2.9000000000000001E-2</v>
      </c>
      <c r="K37" s="122">
        <f t="shared" si="0"/>
        <v>0.57058856087095056</v>
      </c>
      <c r="L37" s="122">
        <f t="shared" si="4"/>
        <v>3.8033432169349388E-2</v>
      </c>
      <c r="M37" s="162">
        <f t="shared" si="5"/>
        <v>38.033432169349389</v>
      </c>
      <c r="N37" s="36">
        <f t="shared" si="1"/>
        <v>82772.984516301804</v>
      </c>
      <c r="P37" s="122">
        <f t="shared" si="2"/>
        <v>0.58467928908643729</v>
      </c>
      <c r="Q37" s="162">
        <f t="shared" si="3"/>
        <v>38.033432169349389</v>
      </c>
    </row>
    <row r="38" spans="3:18" x14ac:dyDescent="0.3">
      <c r="C38">
        <v>13</v>
      </c>
      <c r="D38">
        <v>92</v>
      </c>
      <c r="E38">
        <v>197.41</v>
      </c>
      <c r="F38" s="73">
        <v>0.12</v>
      </c>
      <c r="G38" s="74">
        <v>2067</v>
      </c>
      <c r="H38" s="73">
        <v>9.6000000000000002E-2</v>
      </c>
      <c r="I38" s="73">
        <v>-2.9000000000000001E-2</v>
      </c>
      <c r="K38" s="122">
        <f t="shared" si="0"/>
        <v>0.54341767701995292</v>
      </c>
      <c r="L38" s="122">
        <f t="shared" si="4"/>
        <v>2.7481406321539358E-2</v>
      </c>
      <c r="M38" s="162">
        <f t="shared" si="5"/>
        <v>27.481406321539357</v>
      </c>
      <c r="N38" s="36">
        <f t="shared" si="1"/>
        <v>60451.796824528843</v>
      </c>
      <c r="P38" s="122">
        <f t="shared" si="2"/>
        <v>0.55683741817755927</v>
      </c>
      <c r="Q38" s="162">
        <f t="shared" si="3"/>
        <v>27.481406321539357</v>
      </c>
    </row>
    <row r="39" spans="3:18" x14ac:dyDescent="0.3">
      <c r="C39">
        <v>14</v>
      </c>
      <c r="D39">
        <v>93</v>
      </c>
      <c r="E39">
        <v>217.15</v>
      </c>
      <c r="F39" s="73">
        <v>0.12</v>
      </c>
      <c r="G39" s="74">
        <v>2090</v>
      </c>
      <c r="H39" s="73">
        <v>9.6000000000000002E-2</v>
      </c>
      <c r="I39" s="73">
        <v>-2.9000000000000001E-2</v>
      </c>
      <c r="K39" s="122">
        <f t="shared" si="0"/>
        <v>0.51754064478090744</v>
      </c>
      <c r="L39" s="122">
        <f t="shared" si="4"/>
        <v>1.9409545671651762E-2</v>
      </c>
      <c r="M39" s="162">
        <f t="shared" si="5"/>
        <v>19.409545671651763</v>
      </c>
      <c r="N39" s="36">
        <f t="shared" si="1"/>
        <v>43170.93352809034</v>
      </c>
      <c r="P39" s="122">
        <f t="shared" si="2"/>
        <v>0.53032135064529451</v>
      </c>
      <c r="Q39" s="162">
        <f t="shared" si="3"/>
        <v>19.409545671651763</v>
      </c>
    </row>
    <row r="40" spans="3:18" x14ac:dyDescent="0.3">
      <c r="C40">
        <v>15</v>
      </c>
      <c r="D40">
        <v>94</v>
      </c>
      <c r="E40">
        <v>238.08</v>
      </c>
      <c r="F40" s="73">
        <v>0.12</v>
      </c>
      <c r="G40" s="74">
        <v>2113</v>
      </c>
      <c r="H40" s="73">
        <v>9.6000000000000002E-2</v>
      </c>
      <c r="I40" s="73">
        <v>-2.9000000000000001E-2</v>
      </c>
      <c r="K40" s="122">
        <f t="shared" si="0"/>
        <v>0.49289585217229281</v>
      </c>
      <c r="L40" s="122">
        <f t="shared" si="4"/>
        <v>1.3371391289566272E-2</v>
      </c>
      <c r="M40" s="162">
        <f t="shared" si="5"/>
        <v>13.371391289566272</v>
      </c>
      <c r="N40" s="36">
        <f t="shared" si="1"/>
        <v>30068.092591679848</v>
      </c>
      <c r="P40" s="122">
        <f t="shared" si="2"/>
        <v>0.50506795299551854</v>
      </c>
      <c r="Q40" s="162">
        <f t="shared" si="3"/>
        <v>13.371391289566272</v>
      </c>
    </row>
    <row r="41" spans="3:18" x14ac:dyDescent="0.3">
      <c r="C41">
        <v>16</v>
      </c>
      <c r="D41">
        <v>95</v>
      </c>
      <c r="E41">
        <v>258.82</v>
      </c>
      <c r="F41" s="73">
        <v>0.09</v>
      </c>
      <c r="G41" s="74">
        <v>2137</v>
      </c>
      <c r="H41" s="73">
        <v>9.6000000000000002E-2</v>
      </c>
      <c r="I41" s="73">
        <v>-2.9000000000000001E-2</v>
      </c>
      <c r="K41" s="122">
        <f t="shared" si="0"/>
        <v>0.46942462111646932</v>
      </c>
      <c r="L41" s="122">
        <f t="shared" si="4"/>
        <v>8.9653787971847726E-3</v>
      </c>
      <c r="M41" s="162">
        <f t="shared" si="5"/>
        <v>8.9653787971847727</v>
      </c>
      <c r="N41" s="36">
        <f t="shared" si="1"/>
        <v>20389.329764046975</v>
      </c>
      <c r="P41" s="122">
        <f t="shared" si="2"/>
        <v>0.48101709809097004</v>
      </c>
      <c r="Q41" s="162">
        <f t="shared" si="3"/>
        <v>8.9653787971847727</v>
      </c>
    </row>
    <row r="42" spans="3:18" x14ac:dyDescent="0.3">
      <c r="C42">
        <v>17</v>
      </c>
      <c r="D42">
        <v>96</v>
      </c>
      <c r="E42">
        <v>278.97000000000003</v>
      </c>
      <c r="F42" s="73">
        <v>0.09</v>
      </c>
      <c r="G42" s="74">
        <v>2162</v>
      </c>
      <c r="H42" s="73">
        <v>9.6000000000000002E-2</v>
      </c>
      <c r="I42" s="73">
        <v>-2.9000000000000001E-2</v>
      </c>
      <c r="K42" s="122">
        <f t="shared" si="0"/>
        <v>0.44707106772997074</v>
      </c>
      <c r="L42" s="122">
        <f t="shared" si="4"/>
        <v>6.0469131057766428E-3</v>
      </c>
      <c r="M42" s="162">
        <f t="shared" si="5"/>
        <v>6.0469131057766425</v>
      </c>
      <c r="N42" s="36">
        <f t="shared" si="1"/>
        <v>13912.949267354297</v>
      </c>
      <c r="P42" s="122">
        <f t="shared" si="2"/>
        <v>0.45811152199140004</v>
      </c>
      <c r="Q42" s="162">
        <f t="shared" si="3"/>
        <v>6.0469131057766425</v>
      </c>
    </row>
    <row r="43" spans="3:18" x14ac:dyDescent="0.3">
      <c r="C43">
        <v>18</v>
      </c>
      <c r="D43">
        <v>97</v>
      </c>
      <c r="E43">
        <v>298.08999999999997</v>
      </c>
      <c r="F43" s="73">
        <v>0.09</v>
      </c>
      <c r="G43" s="74">
        <v>2186</v>
      </c>
      <c r="H43" s="73">
        <v>9.6000000000000002E-2</v>
      </c>
      <c r="I43" s="73">
        <v>-2.9000000000000001E-2</v>
      </c>
      <c r="K43" s="122">
        <f t="shared" si="0"/>
        <v>0.42578196926663875</v>
      </c>
      <c r="L43" s="122">
        <f t="shared" si="4"/>
        <v>3.9676052385589E-3</v>
      </c>
      <c r="M43" s="162">
        <f t="shared" si="5"/>
        <v>3.9676052385589</v>
      </c>
      <c r="N43" s="36">
        <f t="shared" si="1"/>
        <v>9230.1423027562232</v>
      </c>
      <c r="P43" s="122">
        <f t="shared" si="2"/>
        <v>0.43629668761085716</v>
      </c>
      <c r="Q43" s="162">
        <f t="shared" si="3"/>
        <v>3.9676052385589</v>
      </c>
    </row>
    <row r="44" spans="3:18" x14ac:dyDescent="0.3">
      <c r="C44">
        <v>19</v>
      </c>
      <c r="D44">
        <v>98</v>
      </c>
      <c r="E44">
        <v>315.76</v>
      </c>
      <c r="F44" s="73">
        <v>0.09</v>
      </c>
      <c r="G44" s="74">
        <v>2212</v>
      </c>
      <c r="H44" s="73">
        <v>9.6000000000000002E-2</v>
      </c>
      <c r="I44" s="73">
        <v>-2.9000000000000001E-2</v>
      </c>
      <c r="K44" s="122">
        <f t="shared" si="0"/>
        <v>0.40550663739679882</v>
      </c>
      <c r="L44" s="122">
        <f t="shared" si="4"/>
        <v>2.5342606316271585E-3</v>
      </c>
      <c r="M44" s="162">
        <f t="shared" si="5"/>
        <v>2.5342606316271588</v>
      </c>
      <c r="N44" s="36">
        <f t="shared" si="1"/>
        <v>5965.7655757131761</v>
      </c>
      <c r="P44" s="122">
        <f t="shared" si="2"/>
        <v>0.41552065486748302</v>
      </c>
      <c r="Q44" s="162">
        <f t="shared" si="3"/>
        <v>2.5342606316271588</v>
      </c>
    </row>
    <row r="45" spans="3:18" x14ac:dyDescent="0.3">
      <c r="C45">
        <v>20</v>
      </c>
      <c r="D45">
        <v>99</v>
      </c>
      <c r="E45">
        <v>1000</v>
      </c>
      <c r="F45" s="73">
        <v>0.09</v>
      </c>
      <c r="G45" s="74">
        <v>2238</v>
      </c>
      <c r="H45" s="73">
        <v>9.6000000000000002E-2</v>
      </c>
      <c r="I45" s="73">
        <v>-2.9000000000000001E-2</v>
      </c>
      <c r="K45" s="122">
        <f t="shared" si="0"/>
        <v>0.38619679752076075</v>
      </c>
      <c r="L45" s="122">
        <f t="shared" si="4"/>
        <v>1.5779786700719559E-3</v>
      </c>
      <c r="M45" s="162">
        <f t="shared" si="5"/>
        <v>1.5779786700719558</v>
      </c>
      <c r="N45" s="36">
        <f t="shared" si="1"/>
        <v>3758.2961120057262</v>
      </c>
      <c r="P45" s="122">
        <f t="shared" si="2"/>
        <v>0.39573395701665048</v>
      </c>
      <c r="Q45" s="162">
        <f t="shared" si="3"/>
        <v>1.5779786700719558</v>
      </c>
    </row>
    <row r="47" spans="3:18" x14ac:dyDescent="0.3">
      <c r="N47" s="162">
        <f>SUMPRODUCT(N26:N45,K26:K45)</f>
        <v>6458077.6043020692</v>
      </c>
      <c r="O47" t="s">
        <v>587</v>
      </c>
      <c r="Q47" s="162">
        <f>SUMPRODUCT(Q26:Q45,P26:P45)</f>
        <v>3380.1465254278937</v>
      </c>
      <c r="R47" t="s">
        <v>586</v>
      </c>
    </row>
    <row r="49" spans="1:18" x14ac:dyDescent="0.3">
      <c r="Q49" s="161">
        <f>N47/Q47</f>
        <v>1910.5910219334469</v>
      </c>
      <c r="R49" t="s">
        <v>653</v>
      </c>
    </row>
    <row r="50" spans="1:18" x14ac:dyDescent="0.3">
      <c r="Q50" s="4">
        <f>Q49/C13</f>
        <v>2939.3708029745335</v>
      </c>
      <c r="R50" t="s">
        <v>579</v>
      </c>
    </row>
    <row r="52" spans="1:18" s="2" customFormat="1" x14ac:dyDescent="0.3">
      <c r="A52" s="2" t="s">
        <v>294</v>
      </c>
    </row>
    <row r="54" spans="1:18" x14ac:dyDescent="0.3">
      <c r="K54" t="s">
        <v>652</v>
      </c>
      <c r="P54" t="s">
        <v>651</v>
      </c>
    </row>
    <row r="55" spans="1:18" x14ac:dyDescent="0.3">
      <c r="C55" t="s">
        <v>189</v>
      </c>
      <c r="D55" t="s">
        <v>293</v>
      </c>
      <c r="E55" t="s">
        <v>146</v>
      </c>
      <c r="F55" t="s">
        <v>199</v>
      </c>
      <c r="K55" t="s">
        <v>189</v>
      </c>
      <c r="L55" t="s">
        <v>293</v>
      </c>
      <c r="M55" t="s">
        <v>146</v>
      </c>
      <c r="N55" t="s">
        <v>199</v>
      </c>
      <c r="P55" t="s">
        <v>27</v>
      </c>
      <c r="Q55" t="s">
        <v>650</v>
      </c>
    </row>
    <row r="56" spans="1:18" x14ac:dyDescent="0.3">
      <c r="C56">
        <v>1</v>
      </c>
      <c r="D56" s="3">
        <v>0.13</v>
      </c>
      <c r="E56">
        <v>80</v>
      </c>
      <c r="F56" s="61">
        <v>1920.06</v>
      </c>
      <c r="K56">
        <f>C56</f>
        <v>1</v>
      </c>
      <c r="L56" s="184">
        <f>F26</f>
        <v>0.23</v>
      </c>
      <c r="M56">
        <f>E56</f>
        <v>80</v>
      </c>
      <c r="N56" s="183">
        <f>G26</f>
        <v>1809</v>
      </c>
      <c r="P56" s="3">
        <f>D56-L56</f>
        <v>-0.1</v>
      </c>
      <c r="Q56" s="61">
        <f>F56-N56</f>
        <v>111.05999999999995</v>
      </c>
    </row>
    <row r="57" spans="1:18" x14ac:dyDescent="0.3">
      <c r="C57">
        <v>2</v>
      </c>
      <c r="D57" s="3">
        <v>0.156</v>
      </c>
      <c r="E57">
        <v>81</v>
      </c>
      <c r="F57" s="61">
        <v>2307.58</v>
      </c>
      <c r="K57">
        <f>C57</f>
        <v>2</v>
      </c>
      <c r="L57" s="184">
        <f>F27</f>
        <v>0.2</v>
      </c>
      <c r="M57">
        <f>E57</f>
        <v>81</v>
      </c>
      <c r="N57" s="183">
        <f>G27</f>
        <v>1833</v>
      </c>
      <c r="P57" s="3">
        <f>D57-L57</f>
        <v>-4.4000000000000011E-2</v>
      </c>
      <c r="Q57" s="61">
        <f>F57-N57</f>
        <v>474.57999999999993</v>
      </c>
    </row>
    <row r="58" spans="1:18" x14ac:dyDescent="0.3">
      <c r="C58">
        <v>3</v>
      </c>
      <c r="D58" s="3">
        <v>0.153</v>
      </c>
      <c r="E58">
        <v>82</v>
      </c>
      <c r="F58" s="61">
        <v>2553.67</v>
      </c>
      <c r="K58">
        <f>C58</f>
        <v>3</v>
      </c>
      <c r="L58" s="184">
        <f>F28</f>
        <v>0.2</v>
      </c>
      <c r="M58">
        <f>E58</f>
        <v>82</v>
      </c>
      <c r="N58" s="183">
        <f>G28</f>
        <v>1856</v>
      </c>
      <c r="P58" s="3">
        <f>D58-L58</f>
        <v>-4.7000000000000014E-2</v>
      </c>
      <c r="Q58" s="61">
        <f>F58-N58</f>
        <v>697.67000000000007</v>
      </c>
    </row>
    <row r="59" spans="1:18" x14ac:dyDescent="0.3">
      <c r="C59">
        <v>4</v>
      </c>
      <c r="D59" s="3">
        <v>0.128</v>
      </c>
      <c r="E59">
        <v>83</v>
      </c>
      <c r="F59" s="61">
        <v>2804.44</v>
      </c>
      <c r="K59">
        <f>C59</f>
        <v>4</v>
      </c>
      <c r="L59" s="184">
        <f>F29</f>
        <v>0.2</v>
      </c>
      <c r="M59">
        <f>E59</f>
        <v>83</v>
      </c>
      <c r="N59" s="183">
        <f>G29</f>
        <v>1878</v>
      </c>
      <c r="P59" s="3">
        <f>D59-L59</f>
        <v>-7.2000000000000008E-2</v>
      </c>
      <c r="Q59" s="61">
        <f>F59-N59</f>
        <v>926.44</v>
      </c>
    </row>
    <row r="60" spans="1:18" x14ac:dyDescent="0.3">
      <c r="C60">
        <v>5</v>
      </c>
      <c r="D60" s="3">
        <v>0.105</v>
      </c>
      <c r="E60">
        <v>84</v>
      </c>
      <c r="F60" s="61">
        <v>2950.31</v>
      </c>
      <c r="K60">
        <f>C60</f>
        <v>5</v>
      </c>
      <c r="L60" s="184">
        <f>F30</f>
        <v>0.2</v>
      </c>
      <c r="M60">
        <f>E60</f>
        <v>84</v>
      </c>
      <c r="N60" s="183">
        <f>G30</f>
        <v>1899</v>
      </c>
      <c r="P60" s="3">
        <f>D60-L60</f>
        <v>-9.5000000000000015E-2</v>
      </c>
      <c r="Q60" s="61">
        <f>F60-N60</f>
        <v>1051.31</v>
      </c>
    </row>
  </sheetData>
  <mergeCells count="3">
    <mergeCell ref="C10:H10"/>
    <mergeCell ref="C23:I23"/>
    <mergeCell ref="K23:O2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76E3-4317-4B7F-96B6-EC800F88283A}">
  <sheetPr>
    <tabColor theme="5" tint="0.39997558519241921"/>
  </sheetPr>
  <dimension ref="A1:M44"/>
  <sheetViews>
    <sheetView workbookViewId="0">
      <selection activeCell="U46" sqref="U46"/>
    </sheetView>
  </sheetViews>
  <sheetFormatPr defaultRowHeight="14.4" x14ac:dyDescent="0.3"/>
  <cols>
    <col min="4" max="4" width="18" customWidth="1"/>
    <col min="5" max="7" width="16.6640625" customWidth="1"/>
    <col min="12" max="14" width="14.88671875" customWidth="1"/>
    <col min="15" max="15" width="14.5546875" customWidth="1"/>
  </cols>
  <sheetData>
    <row r="1" spans="1:8" ht="15" thickBot="1" x14ac:dyDescent="0.35">
      <c r="A1" t="s">
        <v>319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0.25</v>
      </c>
      <c r="D12" t="s">
        <v>318</v>
      </c>
    </row>
    <row r="13" spans="1:8" x14ac:dyDescent="0.3">
      <c r="D13" t="s">
        <v>317</v>
      </c>
    </row>
    <row r="21" spans="1:13" ht="15" thickBot="1" x14ac:dyDescent="0.35"/>
    <row r="22" spans="1:13" ht="15" thickBot="1" x14ac:dyDescent="0.35">
      <c r="C22" s="399" t="s">
        <v>10</v>
      </c>
      <c r="D22" s="400"/>
      <c r="E22" s="400"/>
      <c r="F22" s="400"/>
      <c r="G22" s="401"/>
      <c r="I22" s="399" t="s">
        <v>0</v>
      </c>
      <c r="J22" s="400"/>
      <c r="K22" s="400"/>
      <c r="L22" s="400"/>
      <c r="M22" s="401"/>
    </row>
    <row r="23" spans="1:13" x14ac:dyDescent="0.3">
      <c r="A23" t="s">
        <v>52</v>
      </c>
    </row>
    <row r="24" spans="1:13" x14ac:dyDescent="0.3">
      <c r="C24" t="s">
        <v>316</v>
      </c>
    </row>
    <row r="25" spans="1:13" x14ac:dyDescent="0.3">
      <c r="C25" t="s">
        <v>291</v>
      </c>
      <c r="D25" t="s">
        <v>274</v>
      </c>
      <c r="E25" t="s">
        <v>120</v>
      </c>
      <c r="F25" t="s">
        <v>315</v>
      </c>
      <c r="G25" t="s">
        <v>314</v>
      </c>
    </row>
    <row r="26" spans="1:13" x14ac:dyDescent="0.3">
      <c r="C26" t="s">
        <v>313</v>
      </c>
      <c r="D26" s="41">
        <v>998416</v>
      </c>
      <c r="E26" s="41">
        <v>672932</v>
      </c>
      <c r="F26">
        <v>0.67400000000000004</v>
      </c>
      <c r="G26">
        <v>712</v>
      </c>
    </row>
    <row r="27" spans="1:13" x14ac:dyDescent="0.3">
      <c r="C27" t="s">
        <v>272</v>
      </c>
      <c r="D27" s="41">
        <v>1084103</v>
      </c>
      <c r="E27" s="41">
        <v>771881</v>
      </c>
      <c r="F27">
        <v>0.71199999999999997</v>
      </c>
      <c r="G27">
        <v>768</v>
      </c>
    </row>
    <row r="28" spans="1:13" x14ac:dyDescent="0.3">
      <c r="C28" t="s">
        <v>271</v>
      </c>
      <c r="D28" s="41">
        <v>1140035</v>
      </c>
      <c r="E28" s="41">
        <v>849326</v>
      </c>
      <c r="F28">
        <v>0.745</v>
      </c>
      <c r="G28">
        <v>800</v>
      </c>
    </row>
    <row r="31" spans="1:13" x14ac:dyDescent="0.3">
      <c r="C31" t="s">
        <v>312</v>
      </c>
    </row>
    <row r="32" spans="1:13" x14ac:dyDescent="0.3">
      <c r="C32" t="s">
        <v>49</v>
      </c>
      <c r="D32" t="s">
        <v>123</v>
      </c>
      <c r="E32" t="s">
        <v>306</v>
      </c>
      <c r="F32" t="s">
        <v>305</v>
      </c>
      <c r="G32" t="s">
        <v>304</v>
      </c>
    </row>
    <row r="33" spans="1:7" x14ac:dyDescent="0.3">
      <c r="C33" t="s">
        <v>311</v>
      </c>
      <c r="D33">
        <v>1</v>
      </c>
      <c r="E33">
        <v>465</v>
      </c>
      <c r="F33">
        <v>501</v>
      </c>
      <c r="G33">
        <v>517</v>
      </c>
    </row>
    <row r="34" spans="1:7" x14ac:dyDescent="0.3">
      <c r="C34" t="s">
        <v>310</v>
      </c>
      <c r="D34">
        <v>0.97</v>
      </c>
      <c r="E34">
        <v>67</v>
      </c>
      <c r="F34">
        <v>72</v>
      </c>
      <c r="G34">
        <v>67</v>
      </c>
    </row>
    <row r="35" spans="1:7" x14ac:dyDescent="0.3">
      <c r="C35" t="s">
        <v>309</v>
      </c>
      <c r="D35">
        <v>1.02</v>
      </c>
      <c r="E35">
        <v>114</v>
      </c>
      <c r="F35">
        <v>122</v>
      </c>
      <c r="G35">
        <v>130</v>
      </c>
    </row>
    <row r="36" spans="1:7" x14ac:dyDescent="0.3">
      <c r="C36" t="s">
        <v>308</v>
      </c>
      <c r="D36">
        <v>1.04</v>
      </c>
      <c r="E36">
        <v>66</v>
      </c>
      <c r="F36">
        <v>73</v>
      </c>
      <c r="G36">
        <v>86</v>
      </c>
    </row>
    <row r="39" spans="1:7" x14ac:dyDescent="0.3">
      <c r="C39" t="s">
        <v>307</v>
      </c>
    </row>
    <row r="40" spans="1:7" x14ac:dyDescent="0.3">
      <c r="C40" t="s">
        <v>132</v>
      </c>
      <c r="D40" t="s">
        <v>123</v>
      </c>
      <c r="E40" t="s">
        <v>306</v>
      </c>
      <c r="F40" t="s">
        <v>305</v>
      </c>
      <c r="G40" t="s">
        <v>304</v>
      </c>
    </row>
    <row r="41" spans="1:7" x14ac:dyDescent="0.3">
      <c r="C41" t="s">
        <v>131</v>
      </c>
      <c r="D41">
        <v>1.0449999999999999</v>
      </c>
      <c r="E41">
        <v>332</v>
      </c>
      <c r="F41">
        <v>347</v>
      </c>
      <c r="G41">
        <v>361</v>
      </c>
    </row>
    <row r="42" spans="1:7" x14ac:dyDescent="0.3">
      <c r="C42" t="s">
        <v>130</v>
      </c>
      <c r="D42">
        <v>0.97</v>
      </c>
      <c r="E42">
        <v>380</v>
      </c>
      <c r="F42">
        <v>421</v>
      </c>
      <c r="G42">
        <v>439</v>
      </c>
    </row>
    <row r="44" spans="1:7" s="2" customFormat="1" x14ac:dyDescent="0.3">
      <c r="A44" s="2" t="s">
        <v>303</v>
      </c>
    </row>
  </sheetData>
  <mergeCells count="3">
    <mergeCell ref="C10:F10"/>
    <mergeCell ref="C22:G22"/>
    <mergeCell ref="I22:M2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A864-4955-43C4-97E2-C22A3D2102DD}">
  <sheetPr>
    <tabColor theme="9" tint="0.59999389629810485"/>
  </sheetPr>
  <dimension ref="A1:Q57"/>
  <sheetViews>
    <sheetView workbookViewId="0">
      <selection activeCell="O51" sqref="O51"/>
    </sheetView>
  </sheetViews>
  <sheetFormatPr defaultRowHeight="14.4" x14ac:dyDescent="0.3"/>
  <cols>
    <col min="4" max="4" width="18" customWidth="1"/>
    <col min="5" max="7" width="16.6640625" customWidth="1"/>
    <col min="12" max="14" width="14.88671875" customWidth="1"/>
    <col min="15" max="15" width="14.5546875" customWidth="1"/>
  </cols>
  <sheetData>
    <row r="1" spans="1:8" ht="15" thickBot="1" x14ac:dyDescent="0.35">
      <c r="A1" t="s">
        <v>319</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0.25</v>
      </c>
      <c r="D12" t="s">
        <v>318</v>
      </c>
    </row>
    <row r="13" spans="1:8" x14ac:dyDescent="0.3">
      <c r="D13" t="s">
        <v>317</v>
      </c>
    </row>
    <row r="21" spans="1:17" ht="15" thickBot="1" x14ac:dyDescent="0.35"/>
    <row r="22" spans="1:17" ht="15" thickBot="1" x14ac:dyDescent="0.35">
      <c r="C22" s="399" t="s">
        <v>10</v>
      </c>
      <c r="D22" s="400"/>
      <c r="E22" s="400"/>
      <c r="F22" s="400"/>
      <c r="G22" s="401"/>
      <c r="I22" s="399" t="s">
        <v>0</v>
      </c>
      <c r="J22" s="400"/>
      <c r="K22" s="400"/>
      <c r="L22" s="400"/>
      <c r="M22" s="401"/>
    </row>
    <row r="23" spans="1:17" x14ac:dyDescent="0.3">
      <c r="A23" t="s">
        <v>52</v>
      </c>
    </row>
    <row r="24" spans="1:17" x14ac:dyDescent="0.3">
      <c r="C24" t="s">
        <v>316</v>
      </c>
    </row>
    <row r="25" spans="1:17" x14ac:dyDescent="0.3">
      <c r="C25" t="s">
        <v>291</v>
      </c>
      <c r="D25" t="s">
        <v>274</v>
      </c>
      <c r="E25" t="s">
        <v>120</v>
      </c>
      <c r="F25" t="s">
        <v>315</v>
      </c>
      <c r="G25" t="s">
        <v>314</v>
      </c>
      <c r="I25" t="s">
        <v>279</v>
      </c>
      <c r="J25" t="s">
        <v>39</v>
      </c>
      <c r="K25" t="s">
        <v>658</v>
      </c>
      <c r="L25" t="s">
        <v>657</v>
      </c>
      <c r="M25" t="s">
        <v>664</v>
      </c>
      <c r="N25" t="s">
        <v>663</v>
      </c>
      <c r="O25" t="s">
        <v>662</v>
      </c>
      <c r="P25" t="s">
        <v>661</v>
      </c>
      <c r="Q25" t="s">
        <v>660</v>
      </c>
    </row>
    <row r="26" spans="1:17" x14ac:dyDescent="0.3">
      <c r="C26" t="s">
        <v>313</v>
      </c>
      <c r="D26" s="41">
        <v>998416</v>
      </c>
      <c r="E26" s="41">
        <v>672932</v>
      </c>
      <c r="F26">
        <v>0.67400000000000004</v>
      </c>
      <c r="G26">
        <v>712</v>
      </c>
      <c r="I26">
        <v>2</v>
      </c>
      <c r="J26" s="41">
        <f>E26</f>
        <v>672932</v>
      </c>
      <c r="K26">
        <f>G26</f>
        <v>712</v>
      </c>
      <c r="L26" s="36">
        <f>J26/K26</f>
        <v>945.12921348314603</v>
      </c>
      <c r="M26">
        <f>SUMPRODUCT($D$33:$D$36,E33:E36)/SUM(E33:E36)</f>
        <v>1.0040870786516853</v>
      </c>
      <c r="N26">
        <f>SUMPRODUCT($D$41:$D$42,E41:E42)/SUM(E41:E42)</f>
        <v>1.0049719101123595</v>
      </c>
      <c r="O26" s="36">
        <f>L26/(M26*N26)</f>
        <v>936.62530261406164</v>
      </c>
    </row>
    <row r="27" spans="1:17" x14ac:dyDescent="0.3">
      <c r="C27" t="s">
        <v>272</v>
      </c>
      <c r="D27" s="41">
        <v>1084103</v>
      </c>
      <c r="E27" s="41">
        <v>771881</v>
      </c>
      <c r="F27">
        <v>0.71199999999999997</v>
      </c>
      <c r="G27">
        <v>768</v>
      </c>
      <c r="I27">
        <v>3</v>
      </c>
      <c r="J27" s="41">
        <f>E27</f>
        <v>771881</v>
      </c>
      <c r="K27">
        <f>G27</f>
        <v>768</v>
      </c>
      <c r="L27" s="36">
        <f>J27/K27</f>
        <v>1005.0533854166666</v>
      </c>
      <c r="M27">
        <f>SUMPRODUCT($D$33:$D$36,F33:F36)/SUM(F33:F36)</f>
        <v>1.0041666666666667</v>
      </c>
      <c r="N27">
        <f>SUMPRODUCT($D$41:$D$42,F41:F42)/SUM(F41:F42)</f>
        <v>1.0038867187499998</v>
      </c>
      <c r="O27" s="36">
        <f>L27/(M27*N27)</f>
        <v>997.00794992621013</v>
      </c>
      <c r="P27" s="185">
        <f>O27/O26-1</f>
        <v>6.4468306742967885E-2</v>
      </c>
    </row>
    <row r="28" spans="1:17" x14ac:dyDescent="0.3">
      <c r="C28" t="s">
        <v>271</v>
      </c>
      <c r="D28" s="41">
        <v>1140035</v>
      </c>
      <c r="E28" s="41">
        <v>849326</v>
      </c>
      <c r="F28">
        <v>0.745</v>
      </c>
      <c r="G28">
        <v>800</v>
      </c>
      <c r="I28">
        <v>4</v>
      </c>
      <c r="J28" s="41">
        <f>E28</f>
        <v>849326</v>
      </c>
      <c r="K28">
        <f>G28</f>
        <v>800</v>
      </c>
      <c r="L28" s="36">
        <f>J28/K28</f>
        <v>1061.6575</v>
      </c>
      <c r="M28">
        <f>SUMPRODUCT($D$33:$D$36,G33:G36)/SUM(G33:G36)</f>
        <v>1.0050375</v>
      </c>
      <c r="N28">
        <f>SUMPRODUCT($D$41:$D$42,G41:G42)/SUM(G41:G42)</f>
        <v>1.0038437499999999</v>
      </c>
      <c r="O28" s="36">
        <f>L28/(M28*N28)</f>
        <v>1052.2914610570213</v>
      </c>
      <c r="P28" s="185">
        <f>O28/O27-1</f>
        <v>5.5449418567728337E-2</v>
      </c>
      <c r="Q28" s="124">
        <f>(O28/O26)^(0.5)-1</f>
        <v>5.9949270217985351E-2</v>
      </c>
    </row>
    <row r="31" spans="1:17" x14ac:dyDescent="0.3">
      <c r="C31" t="s">
        <v>312</v>
      </c>
    </row>
    <row r="32" spans="1:17" x14ac:dyDescent="0.3">
      <c r="C32" t="s">
        <v>49</v>
      </c>
      <c r="D32" t="s">
        <v>123</v>
      </c>
      <c r="E32" t="s">
        <v>306</v>
      </c>
      <c r="F32" t="s">
        <v>305</v>
      </c>
      <c r="G32" t="s">
        <v>304</v>
      </c>
    </row>
    <row r="33" spans="1:10" x14ac:dyDescent="0.3">
      <c r="C33" t="s">
        <v>311</v>
      </c>
      <c r="D33">
        <v>1</v>
      </c>
      <c r="E33">
        <v>465</v>
      </c>
      <c r="F33">
        <v>501</v>
      </c>
      <c r="G33">
        <v>517</v>
      </c>
    </row>
    <row r="34" spans="1:10" x14ac:dyDescent="0.3">
      <c r="C34" t="s">
        <v>310</v>
      </c>
      <c r="D34">
        <v>0.97</v>
      </c>
      <c r="E34">
        <v>67</v>
      </c>
      <c r="F34">
        <v>72</v>
      </c>
      <c r="G34">
        <v>67</v>
      </c>
    </row>
    <row r="35" spans="1:10" x14ac:dyDescent="0.3">
      <c r="C35" t="s">
        <v>309</v>
      </c>
      <c r="D35">
        <v>1.02</v>
      </c>
      <c r="E35">
        <v>114</v>
      </c>
      <c r="F35">
        <v>122</v>
      </c>
      <c r="G35">
        <v>130</v>
      </c>
    </row>
    <row r="36" spans="1:10" x14ac:dyDescent="0.3">
      <c r="C36" t="s">
        <v>308</v>
      </c>
      <c r="D36">
        <v>1.04</v>
      </c>
      <c r="E36">
        <v>66</v>
      </c>
      <c r="F36">
        <v>73</v>
      </c>
      <c r="G36">
        <v>86</v>
      </c>
    </row>
    <row r="39" spans="1:10" x14ac:dyDescent="0.3">
      <c r="C39" t="s">
        <v>307</v>
      </c>
    </row>
    <row r="40" spans="1:10" x14ac:dyDescent="0.3">
      <c r="C40" t="s">
        <v>132</v>
      </c>
      <c r="D40" t="s">
        <v>123</v>
      </c>
      <c r="E40" t="s">
        <v>306</v>
      </c>
      <c r="F40" t="s">
        <v>305</v>
      </c>
      <c r="G40" t="s">
        <v>304</v>
      </c>
    </row>
    <row r="41" spans="1:10" x14ac:dyDescent="0.3">
      <c r="C41" t="s">
        <v>131</v>
      </c>
      <c r="D41">
        <v>1.0449999999999999</v>
      </c>
      <c r="E41">
        <v>332</v>
      </c>
      <c r="F41">
        <v>347</v>
      </c>
      <c r="G41">
        <v>361</v>
      </c>
    </row>
    <row r="42" spans="1:10" x14ac:dyDescent="0.3">
      <c r="C42" t="s">
        <v>130</v>
      </c>
      <c r="D42">
        <v>0.97</v>
      </c>
      <c r="E42">
        <v>380</v>
      </c>
      <c r="F42">
        <v>421</v>
      </c>
      <c r="G42">
        <v>439</v>
      </c>
    </row>
    <row r="44" spans="1:10" s="2" customFormat="1" x14ac:dyDescent="0.3">
      <c r="A44" s="2" t="s">
        <v>303</v>
      </c>
    </row>
    <row r="46" spans="1:10" x14ac:dyDescent="0.3">
      <c r="I46">
        <f>1-C12</f>
        <v>0.75</v>
      </c>
      <c r="J46" t="s">
        <v>435</v>
      </c>
    </row>
    <row r="47" spans="1:10" x14ac:dyDescent="0.3">
      <c r="I47" s="3">
        <f>Q28</f>
        <v>5.9949270217985351E-2</v>
      </c>
      <c r="J47" t="s">
        <v>659</v>
      </c>
    </row>
    <row r="49" spans="9:15" x14ac:dyDescent="0.3">
      <c r="I49" t="s">
        <v>279</v>
      </c>
      <c r="J49" t="s">
        <v>39</v>
      </c>
      <c r="K49" t="s">
        <v>658</v>
      </c>
      <c r="L49" t="s">
        <v>657</v>
      </c>
      <c r="M49" t="s">
        <v>547</v>
      </c>
      <c r="N49" t="s">
        <v>581</v>
      </c>
    </row>
    <row r="50" spans="9:15" x14ac:dyDescent="0.3">
      <c r="I50">
        <v>2</v>
      </c>
      <c r="J50" s="41">
        <f>E26</f>
        <v>672932</v>
      </c>
      <c r="K50">
        <f>G26</f>
        <v>712</v>
      </c>
      <c r="L50" s="36">
        <f>J50/K50</f>
        <v>945.12921348314603</v>
      </c>
      <c r="M50" s="41">
        <f>D26</f>
        <v>998416</v>
      </c>
      <c r="N50" s="36">
        <f>M50/K50</f>
        <v>1402.2696629213483</v>
      </c>
    </row>
    <row r="51" spans="9:15" x14ac:dyDescent="0.3">
      <c r="I51">
        <v>3</v>
      </c>
      <c r="J51" s="41">
        <f>E27</f>
        <v>771881</v>
      </c>
      <c r="K51">
        <f>G27</f>
        <v>768</v>
      </c>
      <c r="L51" s="36">
        <f>J51/K51</f>
        <v>1005.0533854166666</v>
      </c>
      <c r="M51" s="41">
        <f>D27</f>
        <v>1084103</v>
      </c>
      <c r="N51" s="36">
        <f>M51/K51</f>
        <v>1411.5924479166667</v>
      </c>
    </row>
    <row r="52" spans="9:15" x14ac:dyDescent="0.3">
      <c r="I52">
        <v>4</v>
      </c>
      <c r="J52" s="41">
        <f>E28</f>
        <v>849326</v>
      </c>
      <c r="K52">
        <f>G28</f>
        <v>800</v>
      </c>
      <c r="L52" s="36">
        <f>J52/K52</f>
        <v>1061.6575</v>
      </c>
      <c r="M52" s="41">
        <f>D28</f>
        <v>1140035</v>
      </c>
      <c r="N52" s="36">
        <f>M52/K52</f>
        <v>1425.04375</v>
      </c>
    </row>
    <row r="53" spans="9:15" x14ac:dyDescent="0.3">
      <c r="I53">
        <v>5</v>
      </c>
      <c r="L53" s="36">
        <f>L52*(1+$I$47)</f>
        <v>1125.3030923464507</v>
      </c>
      <c r="N53" s="36"/>
    </row>
    <row r="54" spans="9:15" x14ac:dyDescent="0.3">
      <c r="I54" t="s">
        <v>656</v>
      </c>
      <c r="L54" s="36">
        <f>L53*(1+$I$47)</f>
        <v>1192.7641915066627</v>
      </c>
      <c r="N54" s="36">
        <f>L54/I46</f>
        <v>1590.3522553422169</v>
      </c>
      <c r="O54" t="s">
        <v>655</v>
      </c>
    </row>
    <row r="57" spans="9:15" x14ac:dyDescent="0.3">
      <c r="N57" s="11">
        <f>(N54/N52)-1</f>
        <v>0.11600240718379129</v>
      </c>
      <c r="O57" t="s">
        <v>654</v>
      </c>
    </row>
  </sheetData>
  <mergeCells count="3">
    <mergeCell ref="C10:F10"/>
    <mergeCell ref="C22:G22"/>
    <mergeCell ref="I22:M22"/>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2AA1-F603-4EC2-B107-513AD0ABE2CE}">
  <sheetPr>
    <tabColor theme="5" tint="0.39997558519241921"/>
  </sheetPr>
  <dimension ref="A1:M35"/>
  <sheetViews>
    <sheetView workbookViewId="0">
      <selection activeCell="U46" sqref="U46"/>
    </sheetView>
  </sheetViews>
  <sheetFormatPr defaultRowHeight="14.4" x14ac:dyDescent="0.3"/>
  <cols>
    <col min="4" max="4" width="10.5546875" bestFit="1" customWidth="1"/>
    <col min="5" max="5" width="10.6640625" customWidth="1"/>
    <col min="6" max="6" width="13.33203125" customWidth="1"/>
    <col min="7" max="7" width="13.33203125" bestFit="1" customWidth="1"/>
    <col min="8" max="9" width="11.33203125" customWidth="1"/>
    <col min="10" max="11" width="11.6640625" customWidth="1"/>
    <col min="12" max="12" width="14.33203125" customWidth="1"/>
    <col min="14" max="14" width="12.88671875" customWidth="1"/>
    <col min="15" max="15" width="11.33203125" customWidth="1"/>
    <col min="20" max="22" width="11.33203125" customWidth="1"/>
  </cols>
  <sheetData>
    <row r="1" spans="1:8" ht="15" thickBot="1" x14ac:dyDescent="0.35">
      <c r="A1" t="s">
        <v>336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73">
        <v>0.7</v>
      </c>
      <c r="D12" t="s">
        <v>335</v>
      </c>
    </row>
    <row r="13" spans="1:8" x14ac:dyDescent="0.3">
      <c r="C13">
        <v>7</v>
      </c>
      <c r="D13" t="s">
        <v>334</v>
      </c>
    </row>
    <row r="14" spans="1:8" x14ac:dyDescent="0.3">
      <c r="C14" s="73">
        <v>0.05</v>
      </c>
      <c r="D14" t="s">
        <v>333</v>
      </c>
    </row>
    <row r="15" spans="1:8" x14ac:dyDescent="0.3">
      <c r="C15">
        <v>0.1</v>
      </c>
      <c r="D15" t="s">
        <v>332</v>
      </c>
    </row>
    <row r="16" spans="1:8" x14ac:dyDescent="0.3">
      <c r="C16" s="73">
        <v>0.02</v>
      </c>
      <c r="D16" t="s">
        <v>331</v>
      </c>
    </row>
    <row r="17" spans="3:13" x14ac:dyDescent="0.3">
      <c r="C17" s="73">
        <v>7.0000000000000007E-2</v>
      </c>
      <c r="D17" t="s">
        <v>330</v>
      </c>
    </row>
    <row r="21" spans="3:13" ht="15" thickBot="1" x14ac:dyDescent="0.35"/>
    <row r="22" spans="3:13" ht="15" thickBot="1" x14ac:dyDescent="0.35">
      <c r="C22" s="399" t="s">
        <v>10</v>
      </c>
      <c r="D22" s="400"/>
      <c r="E22" s="400"/>
      <c r="F22" s="400"/>
      <c r="G22" s="400"/>
      <c r="H22" s="400"/>
      <c r="I22" s="400"/>
      <c r="J22" s="400"/>
      <c r="K22" s="400"/>
      <c r="L22" s="400"/>
      <c r="M22" s="401"/>
    </row>
    <row r="24" spans="3:13" x14ac:dyDescent="0.3">
      <c r="C24" s="58"/>
      <c r="D24" s="58"/>
      <c r="E24" s="58"/>
      <c r="F24" s="58"/>
      <c r="G24" s="58"/>
      <c r="H24" s="58" t="s">
        <v>329</v>
      </c>
      <c r="I24" s="58" t="s">
        <v>329</v>
      </c>
      <c r="J24" s="58" t="s">
        <v>328</v>
      </c>
      <c r="K24" s="58" t="s">
        <v>328</v>
      </c>
      <c r="L24" s="58"/>
      <c r="M24" s="58"/>
    </row>
    <row r="25" spans="3:13" x14ac:dyDescent="0.3">
      <c r="C25" s="58" t="s">
        <v>28</v>
      </c>
      <c r="D25" s="58" t="s">
        <v>327</v>
      </c>
      <c r="E25" s="58" t="s">
        <v>326</v>
      </c>
      <c r="F25" s="58" t="s">
        <v>325</v>
      </c>
      <c r="G25" s="58" t="s">
        <v>324</v>
      </c>
      <c r="H25" s="58" t="s">
        <v>323</v>
      </c>
      <c r="I25" s="58" t="s">
        <v>322</v>
      </c>
      <c r="J25" s="58" t="s">
        <v>323</v>
      </c>
      <c r="K25" s="58" t="s">
        <v>322</v>
      </c>
      <c r="L25" s="58" t="s">
        <v>321</v>
      </c>
      <c r="M25" s="58" t="s">
        <v>320</v>
      </c>
    </row>
    <row r="26" spans="3:13" x14ac:dyDescent="0.3">
      <c r="C26" s="58">
        <v>0</v>
      </c>
      <c r="D26" s="77">
        <v>10000</v>
      </c>
      <c r="E26" s="77">
        <v>0</v>
      </c>
      <c r="F26" s="58">
        <v>95</v>
      </c>
      <c r="G26" s="77">
        <v>900000</v>
      </c>
      <c r="H26" s="58">
        <v>0.1</v>
      </c>
      <c r="I26" s="58">
        <v>0.2</v>
      </c>
      <c r="J26" s="58"/>
      <c r="K26" s="58"/>
      <c r="L26" s="58"/>
      <c r="M26" s="58"/>
    </row>
    <row r="27" spans="3:13" x14ac:dyDescent="0.3">
      <c r="C27" s="58">
        <v>1</v>
      </c>
      <c r="D27" s="77">
        <v>7000</v>
      </c>
      <c r="E27" s="77">
        <v>1000</v>
      </c>
      <c r="F27" s="58">
        <v>95.5</v>
      </c>
      <c r="G27" s="77">
        <v>1200000</v>
      </c>
      <c r="H27" s="78">
        <v>0.09</v>
      </c>
      <c r="I27" s="58">
        <v>0.15</v>
      </c>
      <c r="J27" s="58"/>
      <c r="K27" s="58"/>
      <c r="L27" s="58"/>
      <c r="M27" s="58"/>
    </row>
    <row r="28" spans="3:13" x14ac:dyDescent="0.3">
      <c r="C28" s="58">
        <v>2</v>
      </c>
      <c r="D28" s="77">
        <v>5320</v>
      </c>
      <c r="E28" s="77">
        <v>1630</v>
      </c>
      <c r="F28" s="58">
        <v>96.3</v>
      </c>
      <c r="G28" s="77">
        <v>1300000</v>
      </c>
      <c r="H28" s="58"/>
      <c r="I28" s="58"/>
      <c r="J28" s="58">
        <v>0.03</v>
      </c>
      <c r="K28" s="58">
        <v>0.15</v>
      </c>
      <c r="L28" s="58"/>
      <c r="M28" s="58"/>
    </row>
    <row r="29" spans="3:13" x14ac:dyDescent="0.3">
      <c r="C29" s="58">
        <v>3</v>
      </c>
      <c r="D29" s="58"/>
      <c r="E29" s="58"/>
      <c r="F29" s="58"/>
      <c r="G29" s="58"/>
      <c r="H29" s="58"/>
      <c r="I29" s="58"/>
      <c r="J29" s="58">
        <v>0.03</v>
      </c>
      <c r="K29" s="58">
        <v>0.1</v>
      </c>
      <c r="L29" s="58"/>
      <c r="M29" s="58"/>
    </row>
    <row r="30" spans="3:13" x14ac:dyDescent="0.3">
      <c r="C30" s="58">
        <v>4</v>
      </c>
      <c r="D30" s="58"/>
      <c r="E30" s="58"/>
      <c r="F30" s="58"/>
      <c r="G30" s="58"/>
      <c r="H30" s="58"/>
      <c r="I30" s="58"/>
      <c r="J30" s="58">
        <v>0.03</v>
      </c>
      <c r="K30" s="58">
        <v>0.09</v>
      </c>
      <c r="L30" s="58"/>
      <c r="M30" s="58"/>
    </row>
    <row r="31" spans="3:13" x14ac:dyDescent="0.3">
      <c r="C31" s="58">
        <v>5</v>
      </c>
      <c r="D31" s="58"/>
      <c r="E31" s="58"/>
      <c r="F31" s="58"/>
      <c r="G31" s="58"/>
      <c r="H31" s="58"/>
      <c r="I31" s="58"/>
      <c r="J31" s="58">
        <v>0.03</v>
      </c>
      <c r="K31" s="58">
        <v>0.09</v>
      </c>
      <c r="L31" s="58"/>
      <c r="M31" s="58"/>
    </row>
    <row r="32" spans="3:13" x14ac:dyDescent="0.3">
      <c r="C32" s="58">
        <v>6</v>
      </c>
      <c r="D32" s="58"/>
      <c r="E32" s="58"/>
      <c r="F32" s="58"/>
      <c r="G32" s="58"/>
      <c r="H32" s="58"/>
      <c r="I32" s="58"/>
      <c r="J32" s="58"/>
      <c r="K32" s="58"/>
      <c r="L32" s="58"/>
      <c r="M32" s="58"/>
    </row>
    <row r="33" spans="1:13" x14ac:dyDescent="0.3">
      <c r="A33" s="76"/>
      <c r="E33" s="75"/>
    </row>
    <row r="34" spans="1:13" ht="15" thickBot="1" x14ac:dyDescent="0.35"/>
    <row r="35" spans="1:13" ht="15" thickBot="1" x14ac:dyDescent="0.35">
      <c r="C35" s="399" t="s">
        <v>0</v>
      </c>
      <c r="D35" s="400"/>
      <c r="E35" s="400"/>
      <c r="F35" s="400"/>
      <c r="G35" s="400"/>
      <c r="H35" s="400"/>
      <c r="I35" s="400"/>
      <c r="J35" s="400"/>
      <c r="K35" s="400"/>
      <c r="L35" s="400"/>
      <c r="M35" s="401"/>
    </row>
  </sheetData>
  <mergeCells count="3">
    <mergeCell ref="C10:F10"/>
    <mergeCell ref="C22:M22"/>
    <mergeCell ref="C35:M35"/>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8275-5957-498E-B098-510C181EF32B}">
  <sheetPr>
    <tabColor theme="9" tint="0.59999389629810485"/>
  </sheetPr>
  <dimension ref="A1:N55"/>
  <sheetViews>
    <sheetView workbookViewId="0">
      <selection activeCell="O51" sqref="O51"/>
    </sheetView>
  </sheetViews>
  <sheetFormatPr defaultRowHeight="14.4" x14ac:dyDescent="0.3"/>
  <cols>
    <col min="4" max="4" width="10.5546875" bestFit="1" customWidth="1"/>
    <col min="5" max="5" width="10.6640625" customWidth="1"/>
    <col min="6" max="6" width="13.33203125" customWidth="1"/>
    <col min="7" max="7" width="13.33203125" bestFit="1" customWidth="1"/>
    <col min="8" max="9" width="11.33203125" customWidth="1"/>
    <col min="10" max="11" width="11.6640625" customWidth="1"/>
    <col min="12" max="12" width="14.33203125" customWidth="1"/>
    <col min="14" max="14" width="12.88671875" customWidth="1"/>
    <col min="15" max="15" width="11.33203125" customWidth="1"/>
    <col min="20" max="22" width="11.33203125" customWidth="1"/>
  </cols>
  <sheetData>
    <row r="1" spans="1:8" ht="15" thickBot="1" x14ac:dyDescent="0.35">
      <c r="A1" t="s">
        <v>336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73">
        <v>0.7</v>
      </c>
      <c r="D12" t="s">
        <v>335</v>
      </c>
    </row>
    <row r="13" spans="1:8" x14ac:dyDescent="0.3">
      <c r="C13">
        <v>7</v>
      </c>
      <c r="D13" t="s">
        <v>334</v>
      </c>
    </row>
    <row r="14" spans="1:8" x14ac:dyDescent="0.3">
      <c r="C14" s="73">
        <v>0.05</v>
      </c>
      <c r="D14" t="s">
        <v>333</v>
      </c>
    </row>
    <row r="15" spans="1:8" x14ac:dyDescent="0.3">
      <c r="C15">
        <v>0.1</v>
      </c>
      <c r="D15" t="s">
        <v>332</v>
      </c>
    </row>
    <row r="16" spans="1:8" x14ac:dyDescent="0.3">
      <c r="C16" s="73">
        <v>0.02</v>
      </c>
      <c r="D16" t="s">
        <v>331</v>
      </c>
    </row>
    <row r="17" spans="3:13" x14ac:dyDescent="0.3">
      <c r="C17" s="73">
        <v>7.0000000000000007E-2</v>
      </c>
      <c r="D17" t="s">
        <v>330</v>
      </c>
    </row>
    <row r="21" spans="3:13" ht="15" thickBot="1" x14ac:dyDescent="0.35"/>
    <row r="22" spans="3:13" ht="15" thickBot="1" x14ac:dyDescent="0.35">
      <c r="C22" s="399" t="s">
        <v>10</v>
      </c>
      <c r="D22" s="400"/>
      <c r="E22" s="400"/>
      <c r="F22" s="400"/>
      <c r="G22" s="400"/>
      <c r="H22" s="400"/>
      <c r="I22" s="400"/>
      <c r="J22" s="400"/>
      <c r="K22" s="400"/>
      <c r="L22" s="400"/>
      <c r="M22" s="401"/>
    </row>
    <row r="24" spans="3:13" x14ac:dyDescent="0.3">
      <c r="C24" s="58"/>
      <c r="D24" s="58"/>
      <c r="E24" s="58"/>
      <c r="F24" s="58"/>
      <c r="G24" s="58"/>
      <c r="H24" s="58" t="s">
        <v>329</v>
      </c>
      <c r="I24" s="58" t="s">
        <v>329</v>
      </c>
      <c r="J24" s="58" t="s">
        <v>328</v>
      </c>
      <c r="K24" s="58" t="s">
        <v>328</v>
      </c>
      <c r="L24" s="58"/>
      <c r="M24" s="58"/>
    </row>
    <row r="25" spans="3:13" x14ac:dyDescent="0.3">
      <c r="C25" s="58" t="s">
        <v>28</v>
      </c>
      <c r="D25" s="58" t="s">
        <v>327</v>
      </c>
      <c r="E25" s="58" t="s">
        <v>326</v>
      </c>
      <c r="F25" s="58" t="s">
        <v>325</v>
      </c>
      <c r="G25" s="58" t="s">
        <v>324</v>
      </c>
      <c r="H25" s="58" t="s">
        <v>323</v>
      </c>
      <c r="I25" s="58" t="s">
        <v>322</v>
      </c>
      <c r="J25" s="58" t="s">
        <v>323</v>
      </c>
      <c r="K25" s="58" t="s">
        <v>322</v>
      </c>
      <c r="L25" s="58" t="s">
        <v>321</v>
      </c>
      <c r="M25" s="58" t="s">
        <v>320</v>
      </c>
    </row>
    <row r="26" spans="3:13" x14ac:dyDescent="0.3">
      <c r="C26" s="58">
        <v>0</v>
      </c>
      <c r="D26" s="77">
        <v>10000</v>
      </c>
      <c r="E26" s="77">
        <v>0</v>
      </c>
      <c r="F26" s="58">
        <v>95</v>
      </c>
      <c r="G26" s="77">
        <v>900000</v>
      </c>
      <c r="H26" s="58">
        <v>0.1</v>
      </c>
      <c r="I26" s="58">
        <v>0.2</v>
      </c>
      <c r="J26" s="58"/>
      <c r="K26" s="58"/>
      <c r="L26" s="58"/>
      <c r="M26" s="58"/>
    </row>
    <row r="27" spans="3:13" x14ac:dyDescent="0.3">
      <c r="C27" s="58">
        <v>1</v>
      </c>
      <c r="D27" s="77">
        <v>7000</v>
      </c>
      <c r="E27" s="77">
        <v>1000</v>
      </c>
      <c r="F27" s="58">
        <v>95.5</v>
      </c>
      <c r="G27" s="77">
        <v>1200000</v>
      </c>
      <c r="H27" s="78">
        <v>0.09</v>
      </c>
      <c r="I27" s="58">
        <v>0.15</v>
      </c>
      <c r="J27" s="58"/>
      <c r="K27" s="58"/>
      <c r="L27" s="58"/>
      <c r="M27" s="58"/>
    </row>
    <row r="28" spans="3:13" x14ac:dyDescent="0.3">
      <c r="C28" s="58">
        <v>2</v>
      </c>
      <c r="D28" s="77">
        <v>5320</v>
      </c>
      <c r="E28" s="77">
        <v>1630</v>
      </c>
      <c r="F28" s="58">
        <v>96.3</v>
      </c>
      <c r="G28" s="77">
        <v>1300000</v>
      </c>
      <c r="H28" s="58"/>
      <c r="I28" s="58"/>
      <c r="J28" s="58">
        <v>0.03</v>
      </c>
      <c r="K28" s="58">
        <v>0.15</v>
      </c>
      <c r="L28" s="58"/>
      <c r="M28" s="58"/>
    </row>
    <row r="29" spans="3:13" x14ac:dyDescent="0.3">
      <c r="C29" s="58">
        <v>3</v>
      </c>
      <c r="D29" s="58"/>
      <c r="E29" s="58"/>
      <c r="F29" s="58"/>
      <c r="G29" s="58"/>
      <c r="H29" s="58"/>
      <c r="I29" s="58"/>
      <c r="J29" s="58">
        <v>0.03</v>
      </c>
      <c r="K29" s="58">
        <v>0.1</v>
      </c>
      <c r="L29" s="58"/>
      <c r="M29" s="58"/>
    </row>
    <row r="30" spans="3:13" x14ac:dyDescent="0.3">
      <c r="C30" s="58">
        <v>4</v>
      </c>
      <c r="D30" s="58"/>
      <c r="E30" s="58"/>
      <c r="F30" s="58"/>
      <c r="G30" s="58"/>
      <c r="H30" s="58"/>
      <c r="I30" s="58"/>
      <c r="J30" s="58">
        <v>0.03</v>
      </c>
      <c r="K30" s="58">
        <v>0.09</v>
      </c>
      <c r="L30" s="58"/>
      <c r="M30" s="58"/>
    </row>
    <row r="31" spans="3:13" x14ac:dyDescent="0.3">
      <c r="C31" s="58">
        <v>5</v>
      </c>
      <c r="D31" s="58"/>
      <c r="E31" s="58"/>
      <c r="F31" s="58"/>
      <c r="G31" s="58"/>
      <c r="H31" s="58"/>
      <c r="I31" s="58"/>
      <c r="J31" s="58">
        <v>0.03</v>
      </c>
      <c r="K31" s="58">
        <v>0.09</v>
      </c>
      <c r="L31" s="58"/>
      <c r="M31" s="58"/>
    </row>
    <row r="32" spans="3:13" x14ac:dyDescent="0.3">
      <c r="C32" s="58">
        <v>6</v>
      </c>
      <c r="D32" s="58"/>
      <c r="E32" s="58"/>
      <c r="F32" s="58"/>
      <c r="G32" s="58"/>
      <c r="H32" s="58"/>
      <c r="I32" s="58"/>
      <c r="J32" s="58"/>
      <c r="K32" s="58"/>
      <c r="L32" s="58"/>
      <c r="M32" s="58"/>
    </row>
    <row r="33" spans="1:13" x14ac:dyDescent="0.3">
      <c r="A33" s="76"/>
      <c r="E33" s="75"/>
    </row>
    <row r="34" spans="1:13" ht="15" thickBot="1" x14ac:dyDescent="0.35"/>
    <row r="35" spans="1:13" ht="15" thickBot="1" x14ac:dyDescent="0.35">
      <c r="C35" s="399" t="s">
        <v>0</v>
      </c>
      <c r="D35" s="400"/>
      <c r="E35" s="400"/>
      <c r="F35" s="400"/>
      <c r="G35" s="400"/>
      <c r="H35" s="400"/>
      <c r="I35" s="400"/>
      <c r="J35" s="400"/>
      <c r="K35" s="400"/>
      <c r="L35" s="400"/>
      <c r="M35" s="401"/>
    </row>
    <row r="37" spans="1:13" x14ac:dyDescent="0.3">
      <c r="D37" s="93" t="s">
        <v>323</v>
      </c>
      <c r="E37" s="8" t="s">
        <v>670</v>
      </c>
      <c r="F37" s="8"/>
      <c r="G37" s="8"/>
      <c r="H37" s="8"/>
      <c r="I37" s="8"/>
      <c r="J37" s="8"/>
      <c r="K37" s="8"/>
    </row>
    <row r="38" spans="1:13" x14ac:dyDescent="0.3">
      <c r="D38" s="93" t="s">
        <v>322</v>
      </c>
      <c r="E38" s="8" t="s">
        <v>669</v>
      </c>
      <c r="F38" s="8"/>
      <c r="G38" s="8"/>
      <c r="H38" s="8"/>
    </row>
    <row r="39" spans="1:13" x14ac:dyDescent="0.3">
      <c r="D39" s="93" t="s">
        <v>320</v>
      </c>
      <c r="E39" s="8" t="s">
        <v>668</v>
      </c>
      <c r="F39" s="8"/>
      <c r="G39" s="8"/>
      <c r="H39" s="8"/>
    </row>
    <row r="42" spans="1:13" x14ac:dyDescent="0.3">
      <c r="H42" s="414" t="s">
        <v>329</v>
      </c>
      <c r="I42" s="414"/>
      <c r="J42" s="414" t="s">
        <v>328</v>
      </c>
      <c r="K42" s="414"/>
    </row>
    <row r="43" spans="1:13" ht="46.5" customHeight="1" x14ac:dyDescent="0.3">
      <c r="C43" s="28" t="s">
        <v>28</v>
      </c>
      <c r="D43" s="29" t="s">
        <v>327</v>
      </c>
      <c r="E43" s="29" t="s">
        <v>326</v>
      </c>
      <c r="F43" s="29" t="s">
        <v>325</v>
      </c>
      <c r="G43" s="29" t="s">
        <v>324</v>
      </c>
      <c r="H43" s="28" t="s">
        <v>323</v>
      </c>
      <c r="I43" s="28" t="s">
        <v>322</v>
      </c>
      <c r="J43" s="28" t="s">
        <v>323</v>
      </c>
      <c r="K43" s="28" t="s">
        <v>322</v>
      </c>
      <c r="L43" s="29" t="s">
        <v>321</v>
      </c>
      <c r="M43" s="28" t="s">
        <v>320</v>
      </c>
    </row>
    <row r="44" spans="1:13" x14ac:dyDescent="0.3">
      <c r="C44" s="93">
        <v>0</v>
      </c>
      <c r="D44" s="196">
        <f t="shared" ref="D44:I45" si="0">D26</f>
        <v>10000</v>
      </c>
      <c r="E44" s="196">
        <f t="shared" si="0"/>
        <v>0</v>
      </c>
      <c r="F44" s="194">
        <f t="shared" si="0"/>
        <v>95</v>
      </c>
      <c r="G44" s="197">
        <f t="shared" si="0"/>
        <v>900000</v>
      </c>
      <c r="H44" s="93">
        <f t="shared" si="0"/>
        <v>0.1</v>
      </c>
      <c r="I44" s="93">
        <f t="shared" si="0"/>
        <v>0.2</v>
      </c>
      <c r="J44" s="195"/>
      <c r="K44" s="195"/>
      <c r="L44" s="195"/>
      <c r="M44" s="193">
        <f>$C$15*(I44-$C$14)+$C$14</f>
        <v>6.5000000000000002E-2</v>
      </c>
    </row>
    <row r="45" spans="1:13" x14ac:dyDescent="0.3">
      <c r="C45" s="93">
        <v>1</v>
      </c>
      <c r="D45" s="196">
        <f t="shared" si="0"/>
        <v>7000</v>
      </c>
      <c r="E45" s="196">
        <f t="shared" si="0"/>
        <v>1000</v>
      </c>
      <c r="F45" s="194">
        <f t="shared" si="0"/>
        <v>95.5</v>
      </c>
      <c r="G45" s="197">
        <f t="shared" si="0"/>
        <v>1200000</v>
      </c>
      <c r="H45" s="93">
        <f t="shared" si="0"/>
        <v>0.09</v>
      </c>
      <c r="I45" s="93">
        <f t="shared" si="0"/>
        <v>0.15</v>
      </c>
      <c r="J45" s="195"/>
      <c r="K45" s="195"/>
      <c r="L45" s="194">
        <f>(G45-D45*F45)/E45</f>
        <v>531.5</v>
      </c>
      <c r="M45" s="193">
        <f>$C$15*(I45-$C$14)+$C$14</f>
        <v>6.0000000000000005E-2</v>
      </c>
    </row>
    <row r="46" spans="1:13" x14ac:dyDescent="0.3">
      <c r="C46" s="93">
        <v>2</v>
      </c>
      <c r="D46" s="196">
        <f>D28</f>
        <v>5320</v>
      </c>
      <c r="E46" s="196">
        <f>E28</f>
        <v>1630</v>
      </c>
      <c r="F46" s="194">
        <f>F28</f>
        <v>96.3</v>
      </c>
      <c r="G46" s="197">
        <f>G28</f>
        <v>1300000</v>
      </c>
      <c r="H46" s="195"/>
      <c r="I46" s="195"/>
      <c r="J46" s="93">
        <f t="shared" ref="J46:K49" si="1">J28</f>
        <v>0.03</v>
      </c>
      <c r="K46" s="93">
        <f t="shared" si="1"/>
        <v>0.15</v>
      </c>
      <c r="L46" s="194">
        <f>(G46-F46*D46)/E46</f>
        <v>483.24171779141102</v>
      </c>
      <c r="M46" s="193">
        <f>$C$15*(K46-$C$14)+$C$14</f>
        <v>6.0000000000000005E-2</v>
      </c>
    </row>
    <row r="47" spans="1:13" x14ac:dyDescent="0.3">
      <c r="C47" s="93">
        <v>3</v>
      </c>
      <c r="D47" s="196">
        <f>D46*(1-J46-K46)</f>
        <v>4362.3999999999996</v>
      </c>
      <c r="E47" s="196">
        <f>D46*J46+E46*(1-M46)</f>
        <v>1691.7999999999997</v>
      </c>
      <c r="F47" s="194">
        <f>F46*(1+$C$16)</f>
        <v>98.225999999999999</v>
      </c>
      <c r="G47" s="119">
        <f>F47*D47+E47*L47</f>
        <v>1303277.8242306747</v>
      </c>
      <c r="H47" s="195"/>
      <c r="I47" s="195"/>
      <c r="J47" s="93">
        <f t="shared" si="1"/>
        <v>0.03</v>
      </c>
      <c r="K47" s="93">
        <f t="shared" si="1"/>
        <v>0.1</v>
      </c>
      <c r="L47" s="194">
        <f>L46*(1+$C$17)</f>
        <v>517.06863803680983</v>
      </c>
      <c r="M47" s="193">
        <f>$C$15*(K47-$C$14)+$C$14</f>
        <v>5.5000000000000007E-2</v>
      </c>
    </row>
    <row r="48" spans="1:13" x14ac:dyDescent="0.3">
      <c r="C48" s="93">
        <v>4</v>
      </c>
      <c r="D48" s="196">
        <f>D47*(1-J47-K47)</f>
        <v>3795.2879999999996</v>
      </c>
      <c r="E48" s="196">
        <f>D47*J47+E47*(1-M47)</f>
        <v>1729.6229999999998</v>
      </c>
      <c r="F48" s="194">
        <f>F47*(1+$C$16)</f>
        <v>100.19052000000001</v>
      </c>
      <c r="G48" s="119">
        <f>F48*D48+E48*L48</f>
        <v>1337189.053821801</v>
      </c>
      <c r="H48" s="195"/>
      <c r="I48" s="195"/>
      <c r="J48" s="93">
        <f t="shared" si="1"/>
        <v>0.03</v>
      </c>
      <c r="K48" s="93">
        <f t="shared" si="1"/>
        <v>0.09</v>
      </c>
      <c r="L48" s="194">
        <f>L47*(1+$C$17)</f>
        <v>553.26344269938659</v>
      </c>
      <c r="M48" s="193">
        <f>$C$15*(K48-$C$14)+$C$14</f>
        <v>5.3999999999999999E-2</v>
      </c>
    </row>
    <row r="49" spans="3:14" x14ac:dyDescent="0.3">
      <c r="C49" s="93">
        <v>5</v>
      </c>
      <c r="D49" s="196">
        <f>D48*(1-J48-K48)</f>
        <v>3339.8534399999994</v>
      </c>
      <c r="E49" s="196">
        <f>D48*J48+E48*(1-M48)</f>
        <v>1750.0819979999997</v>
      </c>
      <c r="F49" s="194">
        <f>F48*(1+$C$16)</f>
        <v>102.19433040000001</v>
      </c>
      <c r="G49" s="119">
        <f>F49*D49+E49*L49</f>
        <v>1377348.4245400163</v>
      </c>
      <c r="H49" s="195"/>
      <c r="I49" s="195"/>
      <c r="J49" s="93">
        <f t="shared" si="1"/>
        <v>0.03</v>
      </c>
      <c r="K49" s="93">
        <f t="shared" si="1"/>
        <v>0.09</v>
      </c>
      <c r="L49" s="194">
        <f>L48*(1+$C$17)</f>
        <v>591.99188368834371</v>
      </c>
      <c r="M49" s="193">
        <f>$C$15*(K49-$C$14)+$C$14</f>
        <v>5.3999999999999999E-2</v>
      </c>
    </row>
    <row r="50" spans="3:14" x14ac:dyDescent="0.3">
      <c r="C50" s="192">
        <v>6</v>
      </c>
      <c r="D50" s="191">
        <f>D49*(1-J49-K49)</f>
        <v>2939.0710271999997</v>
      </c>
      <c r="E50" s="191">
        <f>D49*J49+E49*(1-M49)</f>
        <v>1755.7731733079997</v>
      </c>
      <c r="F50" s="189">
        <f>F49*(1+$C$16)</f>
        <v>104.23821700800002</v>
      </c>
      <c r="G50" s="190">
        <f>F50*D50+E50*L50</f>
        <v>1418525.234504987</v>
      </c>
      <c r="H50" s="188"/>
      <c r="I50" s="188"/>
      <c r="J50" s="188"/>
      <c r="K50" s="188"/>
      <c r="L50" s="189">
        <f>L49*(1+$C$17)</f>
        <v>633.4313155465278</v>
      </c>
      <c r="M50" s="188"/>
    </row>
    <row r="51" spans="3:14" x14ac:dyDescent="0.3">
      <c r="C51" s="93"/>
      <c r="D51" s="187">
        <f>SUM(D44:D50)</f>
        <v>36756.612467200001</v>
      </c>
      <c r="E51" s="187">
        <f>SUM(E44:E50)</f>
        <v>9557.2781713079985</v>
      </c>
      <c r="F51" s="93"/>
      <c r="G51" s="93"/>
      <c r="H51" s="93"/>
      <c r="I51" s="93"/>
      <c r="J51" s="93"/>
      <c r="K51" s="93"/>
      <c r="L51" s="93"/>
      <c r="M51" s="93"/>
    </row>
    <row r="52" spans="3:14" x14ac:dyDescent="0.3">
      <c r="C52" s="93"/>
      <c r="D52" s="93"/>
      <c r="E52" s="187">
        <f>E51+D51</f>
        <v>46313.890638507997</v>
      </c>
      <c r="F52" s="93"/>
      <c r="G52" s="119">
        <f>SUM(G44:G50)</f>
        <v>8836340.5370974783</v>
      </c>
      <c r="H52" s="93"/>
      <c r="I52" s="93"/>
      <c r="J52" s="93"/>
      <c r="K52" s="93"/>
      <c r="L52" s="93"/>
      <c r="M52" s="93"/>
    </row>
    <row r="54" spans="3:14" x14ac:dyDescent="0.3">
      <c r="F54" t="s">
        <v>657</v>
      </c>
      <c r="G54" s="186">
        <f>G52/E52</f>
        <v>190.79244726096155</v>
      </c>
      <c r="H54" s="8" t="s">
        <v>667</v>
      </c>
      <c r="I54" s="8"/>
      <c r="J54" s="8"/>
      <c r="K54" s="8"/>
      <c r="L54" s="8"/>
      <c r="M54" s="8"/>
      <c r="N54" s="8"/>
    </row>
    <row r="55" spans="3:14" x14ac:dyDescent="0.3">
      <c r="F55" t="s">
        <v>666</v>
      </c>
      <c r="G55" s="4">
        <f>G54/C12</f>
        <v>272.56063894423079</v>
      </c>
      <c r="H55" s="8" t="s">
        <v>665</v>
      </c>
      <c r="I55" s="8"/>
      <c r="J55" s="8"/>
      <c r="K55" s="8"/>
      <c r="L55" s="8"/>
    </row>
  </sheetData>
  <mergeCells count="5">
    <mergeCell ref="C10:F10"/>
    <mergeCell ref="C22:M22"/>
    <mergeCell ref="H42:I42"/>
    <mergeCell ref="J42:K42"/>
    <mergeCell ref="C35:M35"/>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592C-8AEE-4FD5-9AA5-0BFE47049AE7}">
  <sheetPr>
    <tabColor theme="5" tint="0.39997558519241921"/>
  </sheetPr>
  <dimension ref="A1:M49"/>
  <sheetViews>
    <sheetView workbookViewId="0">
      <selection activeCell="U46" sqref="U46"/>
    </sheetView>
  </sheetViews>
  <sheetFormatPr defaultRowHeight="14.4" x14ac:dyDescent="0.3"/>
  <cols>
    <col min="3" max="3" width="15.6640625" customWidth="1"/>
    <col min="5" max="5" width="12.109375" bestFit="1" customWidth="1"/>
    <col min="11" max="11" width="11.88671875" customWidth="1"/>
    <col min="15" max="15" width="12.5546875" customWidth="1"/>
  </cols>
  <sheetData>
    <row r="1" spans="1:8" ht="15" thickBot="1" x14ac:dyDescent="0.35">
      <c r="A1" t="s">
        <v>355</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354</v>
      </c>
    </row>
    <row r="13" spans="1:8" x14ac:dyDescent="0.3">
      <c r="C13" s="74">
        <v>100000</v>
      </c>
      <c r="D13" t="s">
        <v>353</v>
      </c>
    </row>
    <row r="14" spans="1:8" x14ac:dyDescent="0.3">
      <c r="C14" s="74">
        <v>40000</v>
      </c>
      <c r="D14" t="s">
        <v>352</v>
      </c>
    </row>
    <row r="15" spans="1:8" x14ac:dyDescent="0.3">
      <c r="C15">
        <v>1000</v>
      </c>
      <c r="D15" t="s">
        <v>351</v>
      </c>
    </row>
    <row r="17" spans="1:13" ht="15" thickBot="1" x14ac:dyDescent="0.35"/>
    <row r="18" spans="1:13" ht="15" thickBot="1" x14ac:dyDescent="0.35">
      <c r="C18" s="399" t="s">
        <v>10</v>
      </c>
      <c r="D18" s="400"/>
      <c r="E18" s="400"/>
      <c r="F18" s="400"/>
      <c r="G18" s="401"/>
      <c r="I18" s="399" t="s">
        <v>0</v>
      </c>
      <c r="J18" s="400"/>
      <c r="K18" s="400"/>
      <c r="L18" s="400"/>
      <c r="M18" s="401"/>
    </row>
    <row r="20" spans="1:13" s="2" customFormat="1" x14ac:dyDescent="0.3">
      <c r="A20" s="2" t="s">
        <v>4</v>
      </c>
    </row>
    <row r="25" spans="1:13" s="2" customFormat="1" x14ac:dyDescent="0.3">
      <c r="A25" s="2" t="s">
        <v>294</v>
      </c>
    </row>
    <row r="27" spans="1:13" x14ac:dyDescent="0.3">
      <c r="C27" t="s">
        <v>350</v>
      </c>
      <c r="D27" t="s">
        <v>349</v>
      </c>
    </row>
    <row r="28" spans="1:13" x14ac:dyDescent="0.3">
      <c r="C28" t="s">
        <v>348</v>
      </c>
      <c r="D28" t="s">
        <v>346</v>
      </c>
    </row>
    <row r="29" spans="1:13" x14ac:dyDescent="0.3">
      <c r="C29" t="s">
        <v>117</v>
      </c>
      <c r="D29" t="s">
        <v>347</v>
      </c>
    </row>
    <row r="30" spans="1:13" x14ac:dyDescent="0.3">
      <c r="C30" t="s">
        <v>53</v>
      </c>
      <c r="D30" t="s">
        <v>347</v>
      </c>
    </row>
    <row r="31" spans="1:13" x14ac:dyDescent="0.3">
      <c r="C31" t="s">
        <v>56</v>
      </c>
      <c r="D31" t="s">
        <v>346</v>
      </c>
    </row>
    <row r="33" spans="3:5" x14ac:dyDescent="0.3">
      <c r="C33" t="s">
        <v>49</v>
      </c>
      <c r="D33" t="s">
        <v>340</v>
      </c>
      <c r="E33" t="s">
        <v>339</v>
      </c>
    </row>
    <row r="34" spans="3:5" x14ac:dyDescent="0.3">
      <c r="C34" t="s">
        <v>345</v>
      </c>
      <c r="D34">
        <v>1.1000000000000001</v>
      </c>
      <c r="E34">
        <v>0.75</v>
      </c>
    </row>
    <row r="35" spans="3:5" x14ac:dyDescent="0.3">
      <c r="C35" t="s">
        <v>344</v>
      </c>
      <c r="D35">
        <v>1</v>
      </c>
      <c r="E35">
        <v>0.8</v>
      </c>
    </row>
    <row r="36" spans="3:5" x14ac:dyDescent="0.3">
      <c r="C36" t="s">
        <v>45</v>
      </c>
      <c r="D36">
        <v>0.9</v>
      </c>
      <c r="E36">
        <v>0.7</v>
      </c>
    </row>
    <row r="38" spans="3:5" x14ac:dyDescent="0.3">
      <c r="C38" t="s">
        <v>100</v>
      </c>
      <c r="D38" t="s">
        <v>340</v>
      </c>
      <c r="E38" t="s">
        <v>339</v>
      </c>
    </row>
    <row r="39" spans="3:5" x14ac:dyDescent="0.3">
      <c r="C39" t="s">
        <v>343</v>
      </c>
      <c r="D39">
        <v>1.1000000000000001</v>
      </c>
      <c r="E39">
        <v>0.85</v>
      </c>
    </row>
    <row r="40" spans="3:5" x14ac:dyDescent="0.3">
      <c r="C40" t="s">
        <v>342</v>
      </c>
      <c r="D40">
        <v>1</v>
      </c>
      <c r="E40">
        <v>0.65</v>
      </c>
    </row>
    <row r="41" spans="3:5" x14ac:dyDescent="0.3">
      <c r="C41" t="s">
        <v>341</v>
      </c>
      <c r="D41">
        <v>0.9</v>
      </c>
      <c r="E41">
        <v>0.7</v>
      </c>
    </row>
    <row r="43" spans="3:5" x14ac:dyDescent="0.3">
      <c r="C43" t="s">
        <v>41</v>
      </c>
      <c r="D43" t="s">
        <v>340</v>
      </c>
      <c r="E43" t="s">
        <v>339</v>
      </c>
    </row>
    <row r="44" spans="3:5" x14ac:dyDescent="0.3">
      <c r="C44" t="s">
        <v>338</v>
      </c>
      <c r="D44">
        <v>0.5</v>
      </c>
      <c r="E44">
        <v>0.77</v>
      </c>
    </row>
    <row r="45" spans="3:5" x14ac:dyDescent="0.3">
      <c r="C45" t="s">
        <v>111</v>
      </c>
      <c r="D45">
        <v>0.75</v>
      </c>
      <c r="E45">
        <v>0.77</v>
      </c>
    </row>
    <row r="46" spans="3:5" x14ac:dyDescent="0.3">
      <c r="C46" t="s">
        <v>109</v>
      </c>
      <c r="D46">
        <v>1.5</v>
      </c>
      <c r="E46">
        <v>0.77</v>
      </c>
    </row>
    <row r="47" spans="3:5" x14ac:dyDescent="0.3">
      <c r="C47" t="s">
        <v>337</v>
      </c>
      <c r="D47">
        <v>0.5</v>
      </c>
      <c r="E47">
        <v>0.77</v>
      </c>
    </row>
    <row r="48" spans="3:5" x14ac:dyDescent="0.3">
      <c r="C48" t="s">
        <v>105</v>
      </c>
      <c r="D48">
        <v>1.75</v>
      </c>
      <c r="E48">
        <v>0.77</v>
      </c>
    </row>
    <row r="49" spans="3:5" x14ac:dyDescent="0.3">
      <c r="C49" t="s">
        <v>103</v>
      </c>
      <c r="D49">
        <v>1.25</v>
      </c>
      <c r="E49">
        <v>0.77</v>
      </c>
    </row>
  </sheetData>
  <mergeCells count="3">
    <mergeCell ref="C10:F10"/>
    <mergeCell ref="C18:G18"/>
    <mergeCell ref="I18:M18"/>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E6CD4-4003-4B30-9391-C5551DE40E85}">
  <sheetPr>
    <tabColor theme="9" tint="0.59999389629810485"/>
  </sheetPr>
  <dimension ref="A1:O49"/>
  <sheetViews>
    <sheetView workbookViewId="0">
      <selection activeCell="O51" sqref="O51"/>
    </sheetView>
  </sheetViews>
  <sheetFormatPr defaultRowHeight="14.4" x14ac:dyDescent="0.3"/>
  <cols>
    <col min="3" max="3" width="15.6640625" customWidth="1"/>
    <col min="5" max="5" width="12.109375" bestFit="1" customWidth="1"/>
    <col min="11" max="11" width="11.88671875" customWidth="1"/>
    <col min="15" max="15" width="12.5546875" customWidth="1"/>
  </cols>
  <sheetData>
    <row r="1" spans="1:8" ht="15" thickBot="1" x14ac:dyDescent="0.35">
      <c r="A1" t="s">
        <v>355</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D12" t="s">
        <v>354</v>
      </c>
    </row>
    <row r="13" spans="1:8" x14ac:dyDescent="0.3">
      <c r="C13" s="74">
        <v>100000</v>
      </c>
      <c r="D13" t="s">
        <v>353</v>
      </c>
    </row>
    <row r="14" spans="1:8" x14ac:dyDescent="0.3">
      <c r="C14" s="74">
        <v>40000</v>
      </c>
      <c r="D14" t="s">
        <v>352</v>
      </c>
    </row>
    <row r="15" spans="1:8" x14ac:dyDescent="0.3">
      <c r="C15">
        <v>1000</v>
      </c>
      <c r="D15" t="s">
        <v>351</v>
      </c>
    </row>
    <row r="17" spans="1:15" ht="15" thickBot="1" x14ac:dyDescent="0.35"/>
    <row r="18" spans="1:15" ht="15" thickBot="1" x14ac:dyDescent="0.35">
      <c r="C18" s="399" t="s">
        <v>10</v>
      </c>
      <c r="D18" s="400"/>
      <c r="E18" s="400"/>
      <c r="F18" s="400"/>
      <c r="G18" s="401"/>
      <c r="I18" s="399" t="s">
        <v>0</v>
      </c>
      <c r="J18" s="400"/>
      <c r="K18" s="400"/>
      <c r="L18" s="400"/>
      <c r="M18" s="401"/>
    </row>
    <row r="20" spans="1:15" s="2" customFormat="1" x14ac:dyDescent="0.3">
      <c r="A20" s="2" t="s">
        <v>4</v>
      </c>
    </row>
    <row r="22" spans="1:15" x14ac:dyDescent="0.3">
      <c r="I22" s="70">
        <f>(1.96^2/0.05^2)*(1+(C14/C13)^2)</f>
        <v>1782.5023999999999</v>
      </c>
      <c r="J22" t="s">
        <v>681</v>
      </c>
    </row>
    <row r="24" spans="1:15" x14ac:dyDescent="0.3">
      <c r="I24" s="11">
        <f>(C15/I22)^0.5</f>
        <v>0.74900538203406064</v>
      </c>
      <c r="J24" t="s">
        <v>680</v>
      </c>
    </row>
    <row r="25" spans="1:15" s="2" customFormat="1" x14ac:dyDescent="0.3">
      <c r="A25" s="2" t="s">
        <v>294</v>
      </c>
    </row>
    <row r="27" spans="1:15" x14ac:dyDescent="0.3">
      <c r="C27" t="s">
        <v>350</v>
      </c>
      <c r="D27" t="s">
        <v>349</v>
      </c>
      <c r="I27">
        <v>0.5</v>
      </c>
      <c r="J27" t="s">
        <v>679</v>
      </c>
    </row>
    <row r="28" spans="1:15" x14ac:dyDescent="0.3">
      <c r="C28" t="s">
        <v>348</v>
      </c>
      <c r="D28" t="s">
        <v>346</v>
      </c>
      <c r="I28">
        <f>E49</f>
        <v>0.77</v>
      </c>
      <c r="J28" t="s">
        <v>678</v>
      </c>
    </row>
    <row r="29" spans="1:15" x14ac:dyDescent="0.3">
      <c r="C29" t="s">
        <v>117</v>
      </c>
      <c r="D29" t="s">
        <v>347</v>
      </c>
    </row>
    <row r="30" spans="1:15" x14ac:dyDescent="0.3">
      <c r="C30" t="s">
        <v>53</v>
      </c>
      <c r="D30" t="s">
        <v>347</v>
      </c>
      <c r="I30" s="93"/>
      <c r="J30" s="93" t="s">
        <v>677</v>
      </c>
      <c r="K30" s="93" t="s">
        <v>676</v>
      </c>
      <c r="L30" s="93" t="s">
        <v>675</v>
      </c>
      <c r="M30" s="93" t="s">
        <v>674</v>
      </c>
      <c r="N30" s="93"/>
      <c r="O30" s="93" t="s">
        <v>673</v>
      </c>
    </row>
    <row r="31" spans="1:15" x14ac:dyDescent="0.3">
      <c r="C31" t="s">
        <v>56</v>
      </c>
      <c r="D31" t="s">
        <v>346</v>
      </c>
      <c r="I31" s="192" t="s">
        <v>49</v>
      </c>
      <c r="J31" s="192" t="s">
        <v>671</v>
      </c>
      <c r="K31" s="192" t="s">
        <v>546</v>
      </c>
      <c r="L31" s="192" t="s">
        <v>546</v>
      </c>
      <c r="M31" s="192" t="s">
        <v>671</v>
      </c>
      <c r="N31" s="192" t="s">
        <v>672</v>
      </c>
      <c r="O31" s="192" t="s">
        <v>671</v>
      </c>
    </row>
    <row r="32" spans="1:15" x14ac:dyDescent="0.3">
      <c r="I32" t="s">
        <v>345</v>
      </c>
      <c r="J32">
        <v>1.1000000000000001</v>
      </c>
      <c r="K32">
        <v>0.75</v>
      </c>
      <c r="L32">
        <f>$I$28</f>
        <v>0.77</v>
      </c>
      <c r="M32">
        <f>(K32/L32)*J32</f>
        <v>1.0714285714285714</v>
      </c>
      <c r="N32">
        <f>$I$27</f>
        <v>0.5</v>
      </c>
      <c r="O32" s="200">
        <f>J32*(1-N32)+M32*N32</f>
        <v>1.0857142857142859</v>
      </c>
    </row>
    <row r="33" spans="3:15" x14ac:dyDescent="0.3">
      <c r="C33" t="s">
        <v>49</v>
      </c>
      <c r="D33" t="s">
        <v>340</v>
      </c>
      <c r="E33" t="s">
        <v>339</v>
      </c>
      <c r="I33" t="s">
        <v>344</v>
      </c>
      <c r="J33">
        <v>1</v>
      </c>
      <c r="K33">
        <v>0.8</v>
      </c>
      <c r="L33">
        <f>$I$28</f>
        <v>0.77</v>
      </c>
      <c r="M33">
        <f>(K33/L33)*J33</f>
        <v>1.0389610389610391</v>
      </c>
      <c r="N33">
        <f>$I$27</f>
        <v>0.5</v>
      </c>
      <c r="O33" s="199">
        <f>J33*(1-N33)+M33*N33</f>
        <v>1.0194805194805197</v>
      </c>
    </row>
    <row r="34" spans="3:15" x14ac:dyDescent="0.3">
      <c r="C34" t="s">
        <v>345</v>
      </c>
      <c r="D34">
        <v>1.1000000000000001</v>
      </c>
      <c r="E34">
        <v>0.75</v>
      </c>
      <c r="I34" t="s">
        <v>45</v>
      </c>
      <c r="J34">
        <v>0.9</v>
      </c>
      <c r="K34">
        <v>0.7</v>
      </c>
      <c r="L34">
        <f>$I$28</f>
        <v>0.77</v>
      </c>
      <c r="M34">
        <f>(K34/L34)*J34</f>
        <v>0.81818181818181812</v>
      </c>
      <c r="N34">
        <f>$I$27</f>
        <v>0.5</v>
      </c>
      <c r="O34" s="199">
        <f>J34*(1-N34)+M34*N34</f>
        <v>0.85909090909090913</v>
      </c>
    </row>
    <row r="35" spans="3:15" x14ac:dyDescent="0.3">
      <c r="C35" t="s">
        <v>344</v>
      </c>
      <c r="D35">
        <v>1</v>
      </c>
      <c r="E35">
        <v>0.8</v>
      </c>
    </row>
    <row r="36" spans="3:15" x14ac:dyDescent="0.3">
      <c r="C36" t="s">
        <v>45</v>
      </c>
      <c r="D36">
        <v>0.9</v>
      </c>
      <c r="E36">
        <v>0.7</v>
      </c>
    </row>
    <row r="38" spans="3:15" x14ac:dyDescent="0.3">
      <c r="C38" t="s">
        <v>100</v>
      </c>
      <c r="D38" t="s">
        <v>340</v>
      </c>
      <c r="E38" t="s">
        <v>339</v>
      </c>
    </row>
    <row r="39" spans="3:15" x14ac:dyDescent="0.3">
      <c r="C39" t="s">
        <v>343</v>
      </c>
      <c r="D39">
        <v>1.1000000000000001</v>
      </c>
      <c r="E39">
        <v>0.85</v>
      </c>
    </row>
    <row r="40" spans="3:15" x14ac:dyDescent="0.3">
      <c r="C40" t="s">
        <v>342</v>
      </c>
      <c r="D40">
        <v>1</v>
      </c>
      <c r="E40">
        <v>0.65</v>
      </c>
    </row>
    <row r="41" spans="3:15" x14ac:dyDescent="0.3">
      <c r="C41" t="s">
        <v>341</v>
      </c>
      <c r="D41">
        <v>0.9</v>
      </c>
      <c r="E41">
        <v>0.7</v>
      </c>
    </row>
    <row r="43" spans="3:15" x14ac:dyDescent="0.3">
      <c r="C43" t="s">
        <v>41</v>
      </c>
      <c r="D43" t="s">
        <v>340</v>
      </c>
      <c r="E43" t="s">
        <v>339</v>
      </c>
    </row>
    <row r="44" spans="3:15" x14ac:dyDescent="0.3">
      <c r="C44" t="s">
        <v>338</v>
      </c>
      <c r="D44">
        <v>0.5</v>
      </c>
      <c r="E44">
        <v>0.77</v>
      </c>
    </row>
    <row r="45" spans="3:15" x14ac:dyDescent="0.3">
      <c r="C45" t="s">
        <v>111</v>
      </c>
      <c r="D45">
        <v>0.75</v>
      </c>
      <c r="E45">
        <v>0.77</v>
      </c>
    </row>
    <row r="46" spans="3:15" x14ac:dyDescent="0.3">
      <c r="C46" t="s">
        <v>109</v>
      </c>
      <c r="D46">
        <v>1.5</v>
      </c>
      <c r="E46">
        <v>0.77</v>
      </c>
    </row>
    <row r="47" spans="3:15" x14ac:dyDescent="0.3">
      <c r="C47" t="s">
        <v>337</v>
      </c>
      <c r="D47">
        <v>0.5</v>
      </c>
      <c r="E47">
        <v>0.77</v>
      </c>
    </row>
    <row r="48" spans="3:15" x14ac:dyDescent="0.3">
      <c r="C48" t="s">
        <v>105</v>
      </c>
      <c r="D48">
        <v>1.75</v>
      </c>
      <c r="E48">
        <v>0.77</v>
      </c>
    </row>
    <row r="49" spans="3:5" x14ac:dyDescent="0.3">
      <c r="C49" t="s">
        <v>103</v>
      </c>
      <c r="D49">
        <v>1.25</v>
      </c>
      <c r="E49">
        <v>0.77</v>
      </c>
    </row>
  </sheetData>
  <mergeCells count="3">
    <mergeCell ref="C10:F10"/>
    <mergeCell ref="C18:G18"/>
    <mergeCell ref="I18:M1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0EF7-D6F7-4D2E-AE51-5C25882BE823}">
  <sheetPr>
    <tabColor theme="5" tint="0.39997558519241921"/>
  </sheetPr>
  <dimension ref="A1:S59"/>
  <sheetViews>
    <sheetView zoomScaleNormal="100" workbookViewId="0">
      <selection activeCell="U46" sqref="U46"/>
    </sheetView>
  </sheetViews>
  <sheetFormatPr defaultColWidth="9.109375" defaultRowHeight="14.4" x14ac:dyDescent="0.3"/>
  <cols>
    <col min="1" max="1" width="8" style="79" customWidth="1"/>
    <col min="2" max="2" width="9.109375" style="79"/>
    <col min="3" max="3" width="28.6640625" style="79" customWidth="1"/>
    <col min="4" max="4" width="15.109375" style="79" customWidth="1"/>
    <col min="5" max="5" width="1.6640625" style="79" customWidth="1"/>
    <col min="6" max="7" width="11.6640625" style="79" customWidth="1"/>
    <col min="8" max="8" width="4.109375" style="79" customWidth="1"/>
    <col min="9" max="9" width="14.88671875" style="79" customWidth="1"/>
    <col min="10" max="10" width="16.33203125" style="79" customWidth="1"/>
    <col min="11" max="11" width="9.109375" style="79" customWidth="1"/>
    <col min="12" max="12" width="10" style="79" customWidth="1"/>
    <col min="13" max="13" width="15.109375" style="79" customWidth="1"/>
    <col min="14" max="14" width="9.109375" style="79" customWidth="1"/>
    <col min="15" max="15" width="2" style="79" customWidth="1"/>
    <col min="16" max="16" width="9.109375" style="80" customWidth="1"/>
    <col min="17" max="16384" width="9.109375" style="79"/>
  </cols>
  <sheetData>
    <row r="1" spans="1:19" s="80" customFormat="1" ht="15" thickBot="1" x14ac:dyDescent="0.35">
      <c r="A1" s="79" t="s">
        <v>370</v>
      </c>
      <c r="B1" s="79"/>
      <c r="C1"/>
      <c r="D1"/>
      <c r="E1"/>
      <c r="F1"/>
      <c r="G1" s="10" t="s">
        <v>16</v>
      </c>
      <c r="H1" s="9"/>
      <c r="I1"/>
      <c r="J1"/>
      <c r="K1"/>
      <c r="L1"/>
      <c r="M1"/>
      <c r="N1"/>
      <c r="O1"/>
      <c r="Q1" s="79"/>
      <c r="R1" s="79"/>
      <c r="S1" s="79"/>
    </row>
    <row r="2" spans="1:19" s="80" customFormat="1" x14ac:dyDescent="0.3">
      <c r="A2" s="79"/>
      <c r="B2" s="79"/>
      <c r="C2"/>
      <c r="D2"/>
      <c r="E2"/>
      <c r="F2"/>
      <c r="G2" s="8" t="s">
        <v>15</v>
      </c>
      <c r="H2" s="8"/>
      <c r="I2"/>
      <c r="J2"/>
      <c r="K2"/>
      <c r="L2"/>
      <c r="M2"/>
      <c r="N2"/>
      <c r="O2"/>
      <c r="Q2" s="79"/>
      <c r="R2" s="79"/>
      <c r="S2" s="79"/>
    </row>
    <row r="3" spans="1:19" s="80" customFormat="1" ht="15" thickBot="1" x14ac:dyDescent="0.35">
      <c r="A3" s="79"/>
      <c r="B3" s="79"/>
      <c r="C3"/>
      <c r="D3"/>
      <c r="E3"/>
      <c r="F3"/>
      <c r="G3" s="7" t="s">
        <v>14</v>
      </c>
      <c r="H3" s="7"/>
      <c r="I3"/>
      <c r="J3"/>
      <c r="K3"/>
      <c r="L3"/>
      <c r="M3"/>
      <c r="N3"/>
      <c r="O3"/>
      <c r="Q3" s="79"/>
      <c r="R3" s="79"/>
      <c r="S3" s="79"/>
    </row>
    <row r="4" spans="1:19" s="80" customFormat="1" ht="15.6" thickTop="1" thickBot="1" x14ac:dyDescent="0.35">
      <c r="A4" s="79"/>
      <c r="B4" s="79"/>
      <c r="C4"/>
      <c r="D4"/>
      <c r="E4"/>
      <c r="F4"/>
      <c r="G4" s="6" t="s">
        <v>13</v>
      </c>
      <c r="H4" s="6"/>
      <c r="I4"/>
      <c r="J4"/>
      <c r="K4"/>
      <c r="L4"/>
      <c r="M4"/>
      <c r="N4"/>
      <c r="O4"/>
      <c r="Q4" s="79"/>
      <c r="R4" s="79"/>
      <c r="S4" s="79"/>
    </row>
    <row r="5" spans="1:19" s="80" customFormat="1" ht="15" thickTop="1" x14ac:dyDescent="0.3">
      <c r="A5" s="79"/>
      <c r="B5" s="79"/>
      <c r="C5"/>
      <c r="D5"/>
      <c r="E5"/>
      <c r="F5"/>
      <c r="G5" s="5" t="s">
        <v>12</v>
      </c>
      <c r="H5" s="4"/>
      <c r="I5"/>
      <c r="J5"/>
      <c r="K5"/>
      <c r="L5"/>
      <c r="M5"/>
      <c r="N5"/>
      <c r="O5"/>
      <c r="Q5" s="79"/>
      <c r="R5" s="79"/>
      <c r="S5" s="79"/>
    </row>
    <row r="6" spans="1:19" s="80" customFormat="1" x14ac:dyDescent="0.3">
      <c r="A6" s="79"/>
      <c r="B6" s="79"/>
      <c r="C6"/>
      <c r="D6"/>
      <c r="E6"/>
      <c r="F6"/>
      <c r="G6"/>
      <c r="H6"/>
      <c r="I6"/>
      <c r="J6"/>
      <c r="K6"/>
      <c r="L6"/>
      <c r="M6"/>
      <c r="N6"/>
      <c r="O6"/>
      <c r="Q6" s="79"/>
      <c r="R6" s="79"/>
      <c r="S6" s="79"/>
    </row>
    <row r="7" spans="1:19" s="80" customFormat="1" x14ac:dyDescent="0.3">
      <c r="A7" s="79"/>
      <c r="B7" s="79"/>
      <c r="C7"/>
      <c r="D7"/>
      <c r="E7"/>
      <c r="F7"/>
      <c r="G7"/>
      <c r="H7"/>
      <c r="I7"/>
      <c r="J7"/>
      <c r="K7"/>
      <c r="L7"/>
      <c r="M7"/>
      <c r="N7"/>
      <c r="O7"/>
      <c r="Q7" s="79"/>
      <c r="R7" s="79"/>
      <c r="S7" s="79"/>
    </row>
    <row r="8" spans="1:19" s="80" customFormat="1" x14ac:dyDescent="0.3">
      <c r="A8" s="79"/>
      <c r="B8" s="79"/>
      <c r="C8"/>
      <c r="D8"/>
      <c r="E8"/>
      <c r="F8"/>
      <c r="G8"/>
      <c r="H8"/>
      <c r="I8"/>
      <c r="J8"/>
      <c r="K8"/>
      <c r="L8"/>
      <c r="M8"/>
      <c r="N8"/>
      <c r="O8"/>
      <c r="Q8" s="79"/>
      <c r="R8" s="79"/>
      <c r="S8" s="79"/>
    </row>
    <row r="9" spans="1:19" s="80" customFormat="1" ht="15" thickBot="1" x14ac:dyDescent="0.35">
      <c r="A9" s="79"/>
      <c r="B9" s="79"/>
      <c r="C9"/>
      <c r="D9"/>
      <c r="E9"/>
      <c r="F9"/>
      <c r="G9"/>
      <c r="H9"/>
      <c r="I9"/>
      <c r="J9"/>
      <c r="K9"/>
      <c r="L9"/>
      <c r="M9"/>
      <c r="N9"/>
      <c r="O9"/>
      <c r="Q9" s="79"/>
      <c r="R9" s="79"/>
      <c r="S9" s="79"/>
    </row>
    <row r="10" spans="1:19" s="80" customFormat="1" ht="15" thickBot="1" x14ac:dyDescent="0.35">
      <c r="A10" s="79"/>
      <c r="B10" s="79"/>
      <c r="C10" s="399" t="s">
        <v>3</v>
      </c>
      <c r="D10" s="400"/>
      <c r="E10" s="400"/>
      <c r="F10" s="401"/>
      <c r="G10"/>
      <c r="H10"/>
      <c r="I10"/>
      <c r="J10"/>
      <c r="K10"/>
      <c r="L10"/>
      <c r="M10"/>
      <c r="N10"/>
      <c r="O10"/>
      <c r="Q10" s="79"/>
      <c r="R10" s="79"/>
      <c r="S10" s="79"/>
    </row>
    <row r="11" spans="1:19" s="80" customFormat="1" x14ac:dyDescent="0.3">
      <c r="A11" s="79"/>
      <c r="B11" s="79"/>
      <c r="C11"/>
      <c r="D11"/>
      <c r="E11"/>
      <c r="F11"/>
      <c r="G11"/>
      <c r="H11"/>
      <c r="I11"/>
      <c r="J11"/>
      <c r="K11"/>
      <c r="L11"/>
      <c r="M11"/>
      <c r="N11"/>
      <c r="O11"/>
      <c r="Q11" s="79"/>
      <c r="R11" s="79"/>
      <c r="S11" s="79"/>
    </row>
    <row r="12" spans="1:19" s="80" customFormat="1" x14ac:dyDescent="0.3">
      <c r="A12" s="79"/>
      <c r="B12" s="79"/>
      <c r="C12" s="18">
        <v>10500000</v>
      </c>
      <c r="D12" t="s">
        <v>369</v>
      </c>
      <c r="E12"/>
      <c r="F12"/>
      <c r="G12"/>
      <c r="H12"/>
      <c r="I12"/>
      <c r="J12"/>
      <c r="K12"/>
      <c r="L12"/>
      <c r="M12"/>
      <c r="N12"/>
      <c r="O12"/>
      <c r="Q12" s="79"/>
      <c r="R12" s="79"/>
      <c r="S12" s="79"/>
    </row>
    <row r="13" spans="1:19" s="80" customFormat="1" x14ac:dyDescent="0.3">
      <c r="A13" s="79"/>
      <c r="B13" s="79"/>
      <c r="C13"/>
      <c r="D13"/>
      <c r="E13"/>
      <c r="F13"/>
      <c r="G13"/>
      <c r="H13"/>
      <c r="I13"/>
      <c r="J13"/>
      <c r="K13"/>
      <c r="L13"/>
      <c r="M13"/>
      <c r="N13"/>
      <c r="O13"/>
      <c r="Q13" s="79"/>
      <c r="R13" s="79"/>
      <c r="S13" s="79"/>
    </row>
    <row r="14" spans="1:19" s="80" customFormat="1" x14ac:dyDescent="0.3">
      <c r="A14" s="79"/>
      <c r="B14" s="79"/>
      <c r="C14"/>
      <c r="D14"/>
      <c r="E14"/>
      <c r="F14"/>
      <c r="G14"/>
      <c r="H14"/>
      <c r="I14"/>
      <c r="J14"/>
      <c r="K14"/>
      <c r="L14"/>
      <c r="M14"/>
      <c r="N14"/>
      <c r="O14"/>
      <c r="Q14" s="79"/>
      <c r="R14" s="79"/>
      <c r="S14" s="79"/>
    </row>
    <row r="15" spans="1:19" s="80" customFormat="1" x14ac:dyDescent="0.3">
      <c r="A15" s="79"/>
      <c r="B15" s="79"/>
      <c r="C15" t="s">
        <v>368</v>
      </c>
      <c r="D15"/>
      <c r="E15"/>
      <c r="F15"/>
      <c r="G15"/>
      <c r="H15"/>
      <c r="I15"/>
      <c r="J15"/>
      <c r="K15"/>
      <c r="L15"/>
      <c r="M15"/>
      <c r="N15"/>
      <c r="O15"/>
      <c r="Q15" s="79"/>
      <c r="R15" s="79"/>
      <c r="S15" s="79"/>
    </row>
    <row r="16" spans="1:19" s="80" customFormat="1" x14ac:dyDescent="0.3">
      <c r="A16" s="79"/>
      <c r="B16" s="79"/>
      <c r="C16" s="34">
        <v>0.9</v>
      </c>
      <c r="D16" t="s">
        <v>367</v>
      </c>
      <c r="E16"/>
      <c r="F16"/>
      <c r="G16"/>
      <c r="H16"/>
      <c r="I16"/>
      <c r="J16"/>
      <c r="K16"/>
      <c r="L16"/>
      <c r="M16"/>
      <c r="N16"/>
      <c r="O16"/>
      <c r="Q16" s="79"/>
      <c r="R16" s="79"/>
      <c r="S16" s="79"/>
    </row>
    <row r="17" spans="3:16" x14ac:dyDescent="0.3">
      <c r="C17" s="34">
        <v>1</v>
      </c>
      <c r="D17" t="s">
        <v>366</v>
      </c>
      <c r="E17"/>
      <c r="F17"/>
      <c r="G17"/>
      <c r="H17"/>
      <c r="I17"/>
      <c r="J17"/>
      <c r="K17"/>
      <c r="L17"/>
      <c r="M17"/>
      <c r="N17"/>
      <c r="O17"/>
    </row>
    <row r="18" spans="3:16" x14ac:dyDescent="0.3">
      <c r="C18" s="34">
        <v>0.03</v>
      </c>
      <c r="D18" t="s">
        <v>365</v>
      </c>
      <c r="E18"/>
      <c r="F18"/>
      <c r="G18"/>
      <c r="H18"/>
      <c r="I18"/>
      <c r="J18"/>
      <c r="K18"/>
      <c r="L18"/>
      <c r="M18"/>
      <c r="N18"/>
      <c r="O18"/>
    </row>
    <row r="19" spans="3:16" x14ac:dyDescent="0.3">
      <c r="C19"/>
      <c r="D19"/>
      <c r="E19"/>
      <c r="F19"/>
      <c r="G19"/>
      <c r="H19"/>
      <c r="I19"/>
      <c r="J19"/>
      <c r="K19"/>
      <c r="L19"/>
      <c r="M19"/>
      <c r="N19"/>
      <c r="O19"/>
    </row>
    <row r="20" spans="3:16" x14ac:dyDescent="0.3">
      <c r="C20"/>
      <c r="D20"/>
      <c r="E20"/>
      <c r="F20"/>
      <c r="G20"/>
      <c r="H20"/>
      <c r="I20"/>
      <c r="J20"/>
      <c r="K20"/>
      <c r="L20"/>
      <c r="M20"/>
      <c r="N20"/>
      <c r="O20"/>
    </row>
    <row r="21" spans="3:16" ht="15" thickBot="1" x14ac:dyDescent="0.35">
      <c r="C21"/>
      <c r="D21"/>
      <c r="E21"/>
      <c r="F21"/>
      <c r="G21"/>
      <c r="H21"/>
      <c r="I21"/>
      <c r="J21"/>
      <c r="K21"/>
      <c r="L21"/>
      <c r="M21"/>
      <c r="N21"/>
      <c r="O21"/>
    </row>
    <row r="22" spans="3:16" ht="15" thickBot="1" x14ac:dyDescent="0.35">
      <c r="C22" s="399" t="s">
        <v>10</v>
      </c>
      <c r="D22" s="400"/>
      <c r="E22" s="400"/>
      <c r="F22" s="400"/>
      <c r="G22" s="401"/>
      <c r="H22"/>
      <c r="I22" s="399" t="s">
        <v>0</v>
      </c>
      <c r="J22" s="400"/>
      <c r="K22" s="400"/>
      <c r="L22" s="400"/>
      <c r="M22" s="401"/>
      <c r="N22"/>
      <c r="O22"/>
    </row>
    <row r="24" spans="3:16" x14ac:dyDescent="0.3">
      <c r="P24" s="79"/>
    </row>
    <row r="25" spans="3:16" x14ac:dyDescent="0.3">
      <c r="C25" s="91" t="s">
        <v>128</v>
      </c>
      <c r="D25" s="83" t="s">
        <v>356</v>
      </c>
      <c r="P25" s="79"/>
    </row>
    <row r="26" spans="3:16" x14ac:dyDescent="0.3">
      <c r="C26" s="83" t="s">
        <v>364</v>
      </c>
      <c r="D26" s="84">
        <v>1100000</v>
      </c>
      <c r="P26" s="79"/>
    </row>
    <row r="27" spans="3:16" x14ac:dyDescent="0.3">
      <c r="C27" s="83" t="s">
        <v>126</v>
      </c>
      <c r="D27" s="84">
        <v>280000</v>
      </c>
      <c r="P27" s="79"/>
    </row>
    <row r="28" spans="3:16" x14ac:dyDescent="0.3">
      <c r="C28" s="83" t="s">
        <v>117</v>
      </c>
      <c r="D28" s="84">
        <v>1000000</v>
      </c>
      <c r="P28" s="79"/>
    </row>
    <row r="29" spans="3:16" x14ac:dyDescent="0.3">
      <c r="C29" s="83" t="s">
        <v>363</v>
      </c>
      <c r="D29" s="84">
        <v>200000</v>
      </c>
      <c r="P29" s="79"/>
    </row>
    <row r="30" spans="3:16" x14ac:dyDescent="0.3">
      <c r="C30" s="83" t="s">
        <v>56</v>
      </c>
      <c r="D30" s="90">
        <v>0.05</v>
      </c>
      <c r="P30" s="79"/>
    </row>
    <row r="31" spans="3:16" x14ac:dyDescent="0.3">
      <c r="P31" s="79"/>
    </row>
    <row r="32" spans="3:16" x14ac:dyDescent="0.3">
      <c r="P32" s="79"/>
    </row>
    <row r="33" spans="3:16" x14ac:dyDescent="0.3">
      <c r="P33" s="79"/>
    </row>
    <row r="34" spans="3:16" x14ac:dyDescent="0.3">
      <c r="P34" s="79"/>
    </row>
    <row r="35" spans="3:16" x14ac:dyDescent="0.3">
      <c r="P35" s="79"/>
    </row>
    <row r="36" spans="3:16" x14ac:dyDescent="0.3">
      <c r="P36" s="79"/>
    </row>
    <row r="37" spans="3:16" x14ac:dyDescent="0.3">
      <c r="P37" s="79"/>
    </row>
    <row r="38" spans="3:16" x14ac:dyDescent="0.3">
      <c r="C38" s="89" t="s">
        <v>113</v>
      </c>
      <c r="F38" s="79" t="s">
        <v>356</v>
      </c>
      <c r="P38" s="79"/>
    </row>
    <row r="39" spans="3:16" x14ac:dyDescent="0.3">
      <c r="C39" s="83" t="s">
        <v>362</v>
      </c>
      <c r="D39" s="89" t="s">
        <v>123</v>
      </c>
      <c r="F39" s="85" t="s">
        <v>40</v>
      </c>
      <c r="G39" s="85" t="s">
        <v>39</v>
      </c>
      <c r="P39" s="79"/>
    </row>
    <row r="40" spans="3:16" x14ac:dyDescent="0.3">
      <c r="C40" s="88" t="s">
        <v>361</v>
      </c>
      <c r="D40" s="82">
        <v>1.05</v>
      </c>
      <c r="F40" s="84">
        <v>1000000</v>
      </c>
      <c r="G40" s="84">
        <v>850000</v>
      </c>
      <c r="P40" s="79"/>
    </row>
    <row r="41" spans="3:16" x14ac:dyDescent="0.3">
      <c r="C41" s="88" t="s">
        <v>360</v>
      </c>
      <c r="D41" s="82">
        <v>1</v>
      </c>
      <c r="F41" s="84">
        <v>1500000</v>
      </c>
      <c r="G41" s="84">
        <v>1500000</v>
      </c>
      <c r="P41" s="79"/>
    </row>
    <row r="42" spans="3:16" x14ac:dyDescent="0.3">
      <c r="C42" s="83" t="s">
        <v>359</v>
      </c>
      <c r="D42" s="82">
        <v>1</v>
      </c>
      <c r="F42" s="84">
        <v>2000000</v>
      </c>
      <c r="G42" s="84">
        <v>1600000</v>
      </c>
      <c r="P42" s="79"/>
    </row>
    <row r="43" spans="3:16" x14ac:dyDescent="0.3">
      <c r="C43" s="83" t="s">
        <v>358</v>
      </c>
      <c r="D43" s="82">
        <v>0.95</v>
      </c>
      <c r="F43" s="84">
        <v>2000000</v>
      </c>
      <c r="G43" s="84">
        <v>1700000</v>
      </c>
      <c r="P43" s="79"/>
    </row>
    <row r="44" spans="3:16" x14ac:dyDescent="0.3">
      <c r="C44" s="83" t="s">
        <v>357</v>
      </c>
      <c r="D44" s="82">
        <v>1.1000000000000001</v>
      </c>
      <c r="F44" s="84">
        <v>3500000</v>
      </c>
      <c r="G44" s="84">
        <v>1850000</v>
      </c>
      <c r="P44" s="79"/>
    </row>
    <row r="45" spans="3:16" x14ac:dyDescent="0.3">
      <c r="D45" s="87"/>
      <c r="P45" s="79"/>
    </row>
    <row r="46" spans="3:16" x14ac:dyDescent="0.3">
      <c r="D46" s="87"/>
      <c r="F46" s="79" t="s">
        <v>356</v>
      </c>
      <c r="P46" s="79"/>
    </row>
    <row r="47" spans="3:16" x14ac:dyDescent="0.3">
      <c r="C47" s="86" t="s">
        <v>49</v>
      </c>
      <c r="D47" s="82" t="s">
        <v>123</v>
      </c>
      <c r="F47" s="85" t="s">
        <v>40</v>
      </c>
      <c r="G47" s="85" t="s">
        <v>39</v>
      </c>
      <c r="P47" s="79"/>
    </row>
    <row r="48" spans="3:16" x14ac:dyDescent="0.3">
      <c r="C48" s="83" t="s">
        <v>48</v>
      </c>
      <c r="D48" s="82">
        <v>1</v>
      </c>
      <c r="F48" s="84">
        <v>2300000</v>
      </c>
      <c r="G48" s="84">
        <v>1400000</v>
      </c>
      <c r="P48" s="79"/>
    </row>
    <row r="49" spans="3:16" x14ac:dyDescent="0.3">
      <c r="C49" s="83" t="s">
        <v>47</v>
      </c>
      <c r="D49" s="82">
        <v>1.1000000000000001</v>
      </c>
      <c r="F49" s="81">
        <v>1700000</v>
      </c>
      <c r="G49" s="81">
        <v>1400000</v>
      </c>
      <c r="P49" s="79"/>
    </row>
    <row r="50" spans="3:16" x14ac:dyDescent="0.3">
      <c r="C50" s="83" t="s">
        <v>46</v>
      </c>
      <c r="D50" s="82">
        <v>0.95</v>
      </c>
      <c r="F50" s="81">
        <v>2000000</v>
      </c>
      <c r="G50" s="81">
        <v>1900000</v>
      </c>
      <c r="P50" s="79"/>
    </row>
    <row r="51" spans="3:16" x14ac:dyDescent="0.3">
      <c r="C51" s="83" t="s">
        <v>45</v>
      </c>
      <c r="D51" s="82">
        <v>1.1000000000000001</v>
      </c>
      <c r="F51" s="81">
        <v>1250000</v>
      </c>
      <c r="G51" s="81">
        <v>1100000</v>
      </c>
      <c r="P51" s="79"/>
    </row>
    <row r="52" spans="3:16" x14ac:dyDescent="0.3">
      <c r="C52" s="83" t="s">
        <v>44</v>
      </c>
      <c r="D52" s="82">
        <v>1</v>
      </c>
      <c r="F52" s="81">
        <v>2750000</v>
      </c>
      <c r="G52" s="81">
        <v>1700000</v>
      </c>
      <c r="P52" s="79"/>
    </row>
    <row r="53" spans="3:16" x14ac:dyDescent="0.3">
      <c r="D53" s="80"/>
      <c r="P53" s="79"/>
    </row>
    <row r="54" spans="3:16" x14ac:dyDescent="0.3">
      <c r="P54" s="79"/>
    </row>
    <row r="55" spans="3:16" x14ac:dyDescent="0.3">
      <c r="P55" s="79"/>
    </row>
    <row r="56" spans="3:16" x14ac:dyDescent="0.3">
      <c r="P56" s="79"/>
    </row>
    <row r="57" spans="3:16" x14ac:dyDescent="0.3">
      <c r="P57" s="79"/>
    </row>
    <row r="58" spans="3:16" x14ac:dyDescent="0.3">
      <c r="P58" s="79"/>
    </row>
    <row r="59" spans="3:16" x14ac:dyDescent="0.3">
      <c r="P59" s="79"/>
    </row>
  </sheetData>
  <mergeCells count="3">
    <mergeCell ref="C10:F10"/>
    <mergeCell ref="C22:G22"/>
    <mergeCell ref="I22:M22"/>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E871-1CCB-415B-AB9D-66305AEC40E6}">
  <sheetPr>
    <tabColor theme="9" tint="0.59999389629810485"/>
  </sheetPr>
  <dimension ref="A1:S55"/>
  <sheetViews>
    <sheetView zoomScaleNormal="100" workbookViewId="0">
      <selection activeCell="O51" sqref="O51"/>
    </sheetView>
  </sheetViews>
  <sheetFormatPr defaultColWidth="9.109375" defaultRowHeight="14.4" x14ac:dyDescent="0.3"/>
  <cols>
    <col min="1" max="1" width="8" style="79" customWidth="1"/>
    <col min="2" max="2" width="9.109375" style="79"/>
    <col min="3" max="3" width="28.6640625" style="79" customWidth="1"/>
    <col min="4" max="4" width="15.109375" style="79" customWidth="1"/>
    <col min="5" max="5" width="1.6640625" style="79" customWidth="1"/>
    <col min="6" max="7" width="11.6640625" style="79" customWidth="1"/>
    <col min="8" max="8" width="4.109375" style="79" customWidth="1"/>
    <col min="9" max="9" width="14.88671875" style="79" customWidth="1"/>
    <col min="10" max="10" width="16.33203125" style="79" customWidth="1"/>
    <col min="11" max="11" width="9.109375" style="79" customWidth="1"/>
    <col min="12" max="12" width="10" style="79" customWidth="1"/>
    <col min="13" max="13" width="15.109375" style="79" customWidth="1"/>
    <col min="14" max="14" width="9.109375" style="79" customWidth="1"/>
    <col min="15" max="15" width="2" style="79" customWidth="1"/>
    <col min="16" max="16" width="9.109375" style="80" customWidth="1"/>
    <col min="17" max="16384" width="9.109375" style="79"/>
  </cols>
  <sheetData>
    <row r="1" spans="1:19" s="80" customFormat="1" ht="15" thickBot="1" x14ac:dyDescent="0.35">
      <c r="A1" s="79" t="s">
        <v>370</v>
      </c>
      <c r="B1" s="79"/>
      <c r="C1"/>
      <c r="D1"/>
      <c r="E1"/>
      <c r="F1"/>
      <c r="G1" s="10" t="s">
        <v>16</v>
      </c>
      <c r="H1" s="9"/>
      <c r="I1"/>
      <c r="J1"/>
      <c r="K1"/>
      <c r="L1"/>
      <c r="M1"/>
      <c r="N1"/>
      <c r="O1"/>
      <c r="Q1" s="79"/>
      <c r="R1" s="79"/>
      <c r="S1" s="79"/>
    </row>
    <row r="2" spans="1:19" s="80" customFormat="1" x14ac:dyDescent="0.3">
      <c r="A2" s="79"/>
      <c r="B2" s="79"/>
      <c r="C2"/>
      <c r="D2"/>
      <c r="E2"/>
      <c r="F2"/>
      <c r="G2" s="8" t="s">
        <v>15</v>
      </c>
      <c r="H2" s="8"/>
      <c r="I2"/>
      <c r="J2"/>
      <c r="K2"/>
      <c r="L2"/>
      <c r="M2"/>
      <c r="N2"/>
      <c r="O2"/>
      <c r="Q2" s="79"/>
      <c r="R2" s="79"/>
      <c r="S2" s="79"/>
    </row>
    <row r="3" spans="1:19" s="80" customFormat="1" ht="15" thickBot="1" x14ac:dyDescent="0.35">
      <c r="A3" s="79"/>
      <c r="B3" s="79"/>
      <c r="C3"/>
      <c r="D3"/>
      <c r="E3"/>
      <c r="F3"/>
      <c r="G3" s="7" t="s">
        <v>14</v>
      </c>
      <c r="H3" s="7"/>
      <c r="I3"/>
      <c r="J3"/>
      <c r="K3"/>
      <c r="L3"/>
      <c r="M3"/>
      <c r="N3"/>
      <c r="O3"/>
      <c r="Q3" s="79"/>
      <c r="R3" s="79"/>
      <c r="S3" s="79"/>
    </row>
    <row r="4" spans="1:19" s="80" customFormat="1" ht="15.6" thickTop="1" thickBot="1" x14ac:dyDescent="0.35">
      <c r="A4" s="79"/>
      <c r="B4" s="79"/>
      <c r="C4"/>
      <c r="D4"/>
      <c r="E4"/>
      <c r="F4"/>
      <c r="G4" s="6" t="s">
        <v>13</v>
      </c>
      <c r="H4" s="6"/>
      <c r="I4"/>
      <c r="J4"/>
      <c r="K4"/>
      <c r="L4"/>
      <c r="M4"/>
      <c r="N4"/>
      <c r="O4"/>
      <c r="Q4" s="79"/>
      <c r="R4" s="79"/>
      <c r="S4" s="79"/>
    </row>
    <row r="5" spans="1:19" s="80" customFormat="1" ht="15" thickTop="1" x14ac:dyDescent="0.3">
      <c r="A5" s="79"/>
      <c r="B5" s="79"/>
      <c r="C5"/>
      <c r="D5"/>
      <c r="E5"/>
      <c r="F5"/>
      <c r="G5" s="5" t="s">
        <v>12</v>
      </c>
      <c r="H5" s="4"/>
      <c r="I5"/>
      <c r="J5"/>
      <c r="K5"/>
      <c r="L5"/>
      <c r="M5"/>
      <c r="N5"/>
      <c r="O5"/>
      <c r="Q5" s="79"/>
      <c r="R5" s="79"/>
      <c r="S5" s="79"/>
    </row>
    <row r="6" spans="1:19" s="80" customFormat="1" x14ac:dyDescent="0.3">
      <c r="A6" s="79"/>
      <c r="B6" s="79"/>
      <c r="C6"/>
      <c r="D6"/>
      <c r="E6"/>
      <c r="F6"/>
      <c r="G6"/>
      <c r="H6"/>
      <c r="I6"/>
      <c r="J6"/>
      <c r="K6"/>
      <c r="L6"/>
      <c r="M6"/>
      <c r="N6"/>
      <c r="O6"/>
      <c r="Q6" s="79"/>
      <c r="R6" s="79"/>
      <c r="S6" s="79"/>
    </row>
    <row r="7" spans="1:19" s="80" customFormat="1" x14ac:dyDescent="0.3">
      <c r="A7" s="79"/>
      <c r="B7" s="79"/>
      <c r="C7"/>
      <c r="D7"/>
      <c r="E7"/>
      <c r="F7"/>
      <c r="G7"/>
      <c r="H7"/>
      <c r="I7"/>
      <c r="J7"/>
      <c r="K7"/>
      <c r="L7"/>
      <c r="M7"/>
      <c r="N7"/>
      <c r="O7"/>
      <c r="Q7" s="79"/>
      <c r="R7" s="79"/>
      <c r="S7" s="79"/>
    </row>
    <row r="8" spans="1:19" s="80" customFormat="1" x14ac:dyDescent="0.3">
      <c r="A8" s="79"/>
      <c r="B8" s="79"/>
      <c r="C8"/>
      <c r="D8"/>
      <c r="E8"/>
      <c r="F8"/>
      <c r="G8"/>
      <c r="H8"/>
      <c r="I8"/>
      <c r="J8"/>
      <c r="K8"/>
      <c r="L8"/>
      <c r="M8"/>
      <c r="N8"/>
      <c r="O8"/>
      <c r="Q8" s="79"/>
      <c r="R8" s="79"/>
      <c r="S8" s="79"/>
    </row>
    <row r="9" spans="1:19" s="80" customFormat="1" ht="15" thickBot="1" x14ac:dyDescent="0.35">
      <c r="A9" s="79"/>
      <c r="B9" s="79"/>
      <c r="C9"/>
      <c r="D9"/>
      <c r="E9"/>
      <c r="F9"/>
      <c r="G9"/>
      <c r="H9"/>
      <c r="I9"/>
      <c r="J9"/>
      <c r="K9"/>
      <c r="L9"/>
      <c r="M9"/>
      <c r="N9"/>
      <c r="O9"/>
      <c r="Q9" s="79"/>
      <c r="R9" s="79"/>
      <c r="S9" s="79"/>
    </row>
    <row r="10" spans="1:19" s="80" customFormat="1" ht="15" thickBot="1" x14ac:dyDescent="0.35">
      <c r="A10" s="79"/>
      <c r="B10" s="79"/>
      <c r="C10" s="399" t="s">
        <v>3</v>
      </c>
      <c r="D10" s="400"/>
      <c r="E10" s="400"/>
      <c r="F10" s="401"/>
      <c r="G10"/>
      <c r="H10"/>
      <c r="I10"/>
      <c r="J10"/>
      <c r="K10"/>
      <c r="L10"/>
      <c r="M10"/>
      <c r="N10"/>
      <c r="O10"/>
      <c r="Q10" s="79"/>
      <c r="R10" s="79"/>
      <c r="S10" s="79"/>
    </row>
    <row r="11" spans="1:19" s="80" customFormat="1" x14ac:dyDescent="0.3">
      <c r="A11" s="79"/>
      <c r="B11" s="79"/>
      <c r="C11"/>
      <c r="D11"/>
      <c r="E11"/>
      <c r="F11"/>
      <c r="G11"/>
      <c r="H11"/>
      <c r="I11"/>
      <c r="J11"/>
      <c r="K11"/>
      <c r="L11"/>
      <c r="M11"/>
      <c r="N11"/>
      <c r="O11"/>
      <c r="Q11" s="79"/>
      <c r="R11" s="79"/>
      <c r="S11" s="79"/>
    </row>
    <row r="12" spans="1:19" s="80" customFormat="1" x14ac:dyDescent="0.3">
      <c r="A12" s="79"/>
      <c r="B12" s="79"/>
      <c r="C12" s="18">
        <v>10500000</v>
      </c>
      <c r="D12" t="s">
        <v>369</v>
      </c>
      <c r="E12"/>
      <c r="F12"/>
      <c r="G12"/>
      <c r="H12"/>
      <c r="I12"/>
      <c r="J12"/>
      <c r="K12"/>
      <c r="L12"/>
      <c r="M12"/>
      <c r="N12"/>
      <c r="O12"/>
      <c r="Q12" s="79"/>
      <c r="R12" s="79"/>
      <c r="S12" s="79"/>
    </row>
    <row r="13" spans="1:19" s="80" customFormat="1" x14ac:dyDescent="0.3">
      <c r="A13" s="79"/>
      <c r="B13" s="79"/>
      <c r="C13"/>
      <c r="D13"/>
      <c r="E13"/>
      <c r="F13"/>
      <c r="G13"/>
      <c r="H13"/>
      <c r="I13"/>
      <c r="J13"/>
      <c r="K13"/>
      <c r="L13"/>
      <c r="M13"/>
      <c r="N13"/>
      <c r="O13"/>
      <c r="Q13" s="79"/>
      <c r="R13" s="79"/>
      <c r="S13" s="79"/>
    </row>
    <row r="14" spans="1:19" s="80" customFormat="1" x14ac:dyDescent="0.3">
      <c r="A14" s="79"/>
      <c r="B14" s="79"/>
      <c r="C14"/>
      <c r="D14"/>
      <c r="E14"/>
      <c r="F14"/>
      <c r="G14"/>
      <c r="H14"/>
      <c r="I14"/>
      <c r="J14"/>
      <c r="K14"/>
      <c r="L14"/>
      <c r="M14"/>
      <c r="N14"/>
      <c r="O14"/>
      <c r="Q14" s="79"/>
      <c r="R14" s="79"/>
      <c r="S14" s="79"/>
    </row>
    <row r="15" spans="1:19" s="80" customFormat="1" x14ac:dyDescent="0.3">
      <c r="A15" s="79"/>
      <c r="B15" s="79"/>
      <c r="C15" t="s">
        <v>368</v>
      </c>
      <c r="D15"/>
      <c r="E15"/>
      <c r="F15"/>
      <c r="G15"/>
      <c r="H15"/>
      <c r="I15"/>
      <c r="J15"/>
      <c r="K15"/>
      <c r="L15"/>
      <c r="M15"/>
      <c r="N15"/>
      <c r="O15"/>
      <c r="Q15" s="79"/>
      <c r="R15" s="79"/>
      <c r="S15" s="79"/>
    </row>
    <row r="16" spans="1:19" s="80" customFormat="1" x14ac:dyDescent="0.3">
      <c r="A16" s="79"/>
      <c r="B16" s="79"/>
      <c r="C16" s="34">
        <v>0.9</v>
      </c>
      <c r="D16" t="s">
        <v>367</v>
      </c>
      <c r="E16"/>
      <c r="F16"/>
      <c r="G16"/>
      <c r="H16"/>
      <c r="I16"/>
      <c r="J16"/>
      <c r="K16"/>
      <c r="L16"/>
      <c r="M16"/>
      <c r="N16"/>
      <c r="O16"/>
      <c r="Q16" s="79"/>
      <c r="R16" s="79"/>
      <c r="S16" s="79"/>
    </row>
    <row r="17" spans="3:16" x14ac:dyDescent="0.3">
      <c r="C17" s="34">
        <v>1</v>
      </c>
      <c r="D17" t="s">
        <v>366</v>
      </c>
      <c r="E17"/>
      <c r="F17"/>
      <c r="G17"/>
      <c r="H17"/>
      <c r="I17"/>
      <c r="J17"/>
      <c r="K17"/>
      <c r="L17"/>
      <c r="M17"/>
      <c r="N17"/>
      <c r="O17"/>
    </row>
    <row r="18" spans="3:16" x14ac:dyDescent="0.3">
      <c r="C18" s="34">
        <v>0.03</v>
      </c>
      <c r="D18" t="s">
        <v>365</v>
      </c>
      <c r="E18"/>
      <c r="F18"/>
      <c r="G18"/>
      <c r="H18"/>
      <c r="I18"/>
      <c r="J18"/>
      <c r="K18"/>
      <c r="L18"/>
      <c r="M18"/>
      <c r="N18"/>
      <c r="O18"/>
    </row>
    <row r="19" spans="3:16" x14ac:dyDescent="0.3">
      <c r="C19"/>
      <c r="D19"/>
      <c r="E19"/>
      <c r="F19"/>
      <c r="G19"/>
      <c r="H19"/>
      <c r="I19"/>
      <c r="J19"/>
      <c r="K19"/>
      <c r="L19"/>
      <c r="M19"/>
      <c r="N19"/>
      <c r="O19"/>
    </row>
    <row r="20" spans="3:16" x14ac:dyDescent="0.3">
      <c r="C20"/>
      <c r="D20"/>
      <c r="E20"/>
      <c r="F20"/>
      <c r="G20"/>
      <c r="H20"/>
      <c r="I20"/>
      <c r="J20"/>
      <c r="K20"/>
      <c r="L20"/>
      <c r="M20"/>
      <c r="N20"/>
      <c r="O20"/>
    </row>
    <row r="21" spans="3:16" ht="15" thickBot="1" x14ac:dyDescent="0.35">
      <c r="C21"/>
      <c r="D21"/>
      <c r="E21"/>
      <c r="F21"/>
      <c r="G21"/>
      <c r="H21"/>
      <c r="I21"/>
      <c r="J21"/>
      <c r="K21"/>
      <c r="L21"/>
      <c r="M21"/>
      <c r="N21"/>
      <c r="O21"/>
    </row>
    <row r="22" spans="3:16" ht="15" thickBot="1" x14ac:dyDescent="0.35">
      <c r="C22" s="399" t="s">
        <v>10</v>
      </c>
      <c r="D22" s="400"/>
      <c r="E22" s="400"/>
      <c r="F22" s="400"/>
      <c r="G22" s="401"/>
      <c r="H22"/>
      <c r="I22" s="399" t="s">
        <v>0</v>
      </c>
      <c r="J22" s="400"/>
      <c r="K22" s="400"/>
      <c r="L22" s="400"/>
      <c r="M22" s="401"/>
      <c r="N22"/>
      <c r="O22"/>
    </row>
    <row r="25" spans="3:16" ht="15" thickBot="1" x14ac:dyDescent="0.35">
      <c r="C25" s="91" t="s">
        <v>128</v>
      </c>
      <c r="D25" s="83" t="s">
        <v>356</v>
      </c>
    </row>
    <row r="26" spans="3:16" ht="15" thickBot="1" x14ac:dyDescent="0.35">
      <c r="C26" s="83" t="s">
        <v>364</v>
      </c>
      <c r="D26" s="84">
        <v>1100000</v>
      </c>
      <c r="I26" s="415" t="s">
        <v>676</v>
      </c>
      <c r="J26" s="416"/>
      <c r="L26" s="80" t="s">
        <v>542</v>
      </c>
      <c r="M26" s="222">
        <f>1-(SUM(J31:J34)/SUM(F40:F44)+D30)</f>
        <v>0.69199999999999995</v>
      </c>
      <c r="P26" s="79"/>
    </row>
    <row r="27" spans="3:16" ht="15" thickTop="1" x14ac:dyDescent="0.3">
      <c r="C27" s="83" t="s">
        <v>126</v>
      </c>
      <c r="D27" s="84">
        <v>280000</v>
      </c>
      <c r="I27" s="85" t="s">
        <v>40</v>
      </c>
      <c r="J27" s="223" t="s">
        <v>433</v>
      </c>
      <c r="L27" s="80" t="s">
        <v>546</v>
      </c>
      <c r="M27" s="222">
        <f>SUM(G40:G44)/SUM(F40:F44)</f>
        <v>0.75</v>
      </c>
      <c r="P27" s="79"/>
    </row>
    <row r="28" spans="3:16" x14ac:dyDescent="0.3">
      <c r="C28" s="83" t="s">
        <v>117</v>
      </c>
      <c r="D28" s="84">
        <v>1000000</v>
      </c>
      <c r="I28" s="84">
        <f>SUM(F40:F44)</f>
        <v>10000000</v>
      </c>
      <c r="J28" s="81">
        <f>SUM(G40:G44)</f>
        <v>7500000</v>
      </c>
      <c r="L28" s="80"/>
      <c r="M28" s="80"/>
      <c r="P28" s="214" t="s">
        <v>695</v>
      </c>
    </row>
    <row r="29" spans="3:16" x14ac:dyDescent="0.3">
      <c r="C29" s="83" t="s">
        <v>363</v>
      </c>
      <c r="D29" s="84">
        <v>200000</v>
      </c>
      <c r="I29" s="97"/>
      <c r="L29" s="80"/>
      <c r="M29" s="108" t="s">
        <v>694</v>
      </c>
      <c r="P29" s="213" t="s">
        <v>693</v>
      </c>
    </row>
    <row r="30" spans="3:16" x14ac:dyDescent="0.3">
      <c r="C30" s="83" t="s">
        <v>56</v>
      </c>
      <c r="D30" s="90">
        <v>0.05</v>
      </c>
      <c r="J30" s="85" t="s">
        <v>692</v>
      </c>
      <c r="L30" s="202" t="s">
        <v>39</v>
      </c>
      <c r="M30" s="221">
        <f>J28</f>
        <v>7500000</v>
      </c>
      <c r="O30" s="220"/>
      <c r="P30" s="212"/>
    </row>
    <row r="31" spans="3:16" x14ac:dyDescent="0.3">
      <c r="J31" s="81">
        <v>1100000</v>
      </c>
      <c r="L31" s="202" t="s">
        <v>691</v>
      </c>
      <c r="M31" s="219">
        <f>(1+$C$18)^2</f>
        <v>1.0609</v>
      </c>
      <c r="P31" s="209"/>
    </row>
    <row r="32" spans="3:16" x14ac:dyDescent="0.3">
      <c r="J32" s="81">
        <v>280000</v>
      </c>
      <c r="L32" s="202" t="s">
        <v>542</v>
      </c>
      <c r="M32" s="218">
        <f>M26</f>
        <v>0.69199999999999995</v>
      </c>
      <c r="P32" s="216"/>
    </row>
    <row r="33" spans="3:16" x14ac:dyDescent="0.3">
      <c r="J33" s="81">
        <v>1000000</v>
      </c>
      <c r="L33" s="202" t="s">
        <v>690</v>
      </c>
      <c r="M33" s="217">
        <f>C12</f>
        <v>10500000</v>
      </c>
      <c r="P33" s="216"/>
    </row>
    <row r="34" spans="3:16" x14ac:dyDescent="0.3">
      <c r="J34" s="81">
        <v>200000</v>
      </c>
      <c r="L34" s="202" t="s">
        <v>689</v>
      </c>
      <c r="M34" s="217">
        <f>M30*M31/M32</f>
        <v>11498193.641618498</v>
      </c>
      <c r="P34" s="216"/>
    </row>
    <row r="35" spans="3:16" x14ac:dyDescent="0.3">
      <c r="J35" s="81" t="s">
        <v>688</v>
      </c>
      <c r="L35" s="202" t="s">
        <v>687</v>
      </c>
      <c r="M35" s="215">
        <f>M34/M33</f>
        <v>1.0950660611065235</v>
      </c>
      <c r="P35" s="205">
        <f>M35</f>
        <v>1.0950660611065235</v>
      </c>
    </row>
    <row r="37" spans="3:16" x14ac:dyDescent="0.3">
      <c r="L37" s="89" t="s">
        <v>680</v>
      </c>
      <c r="M37" s="103">
        <f>1-C16</f>
        <v>9.9999999999999978E-2</v>
      </c>
    </row>
    <row r="38" spans="3:16" x14ac:dyDescent="0.3">
      <c r="C38" s="89" t="s">
        <v>113</v>
      </c>
      <c r="F38" s="79" t="s">
        <v>356</v>
      </c>
      <c r="P38" s="214" t="s">
        <v>113</v>
      </c>
    </row>
    <row r="39" spans="3:16" x14ac:dyDescent="0.3">
      <c r="C39" s="83" t="s">
        <v>362</v>
      </c>
      <c r="D39" s="89" t="s">
        <v>123</v>
      </c>
      <c r="F39" s="85" t="s">
        <v>40</v>
      </c>
      <c r="G39" s="85" t="s">
        <v>39</v>
      </c>
      <c r="I39" s="85" t="s">
        <v>677</v>
      </c>
      <c r="J39" s="85" t="s">
        <v>546</v>
      </c>
      <c r="K39" s="85" t="s">
        <v>674</v>
      </c>
      <c r="L39" s="85" t="s">
        <v>686</v>
      </c>
      <c r="M39" s="85" t="s">
        <v>685</v>
      </c>
      <c r="N39" s="85" t="s">
        <v>684</v>
      </c>
      <c r="P39" s="213" t="s">
        <v>123</v>
      </c>
    </row>
    <row r="40" spans="3:16" x14ac:dyDescent="0.3">
      <c r="C40" s="88" t="s">
        <v>361</v>
      </c>
      <c r="D40" s="82">
        <v>1.05</v>
      </c>
      <c r="F40" s="84">
        <v>1000000</v>
      </c>
      <c r="G40" s="84">
        <v>850000</v>
      </c>
      <c r="I40" s="211">
        <f>D40</f>
        <v>1.05</v>
      </c>
      <c r="J40" s="210">
        <f>G40/F40</f>
        <v>0.85</v>
      </c>
      <c r="K40" s="87">
        <f>J40/M27</f>
        <v>1.1333333333333333</v>
      </c>
      <c r="L40" s="87">
        <f>I40</f>
        <v>1.05</v>
      </c>
      <c r="M40" s="87">
        <f>K40*I40</f>
        <v>1.19</v>
      </c>
      <c r="N40" s="87">
        <f>M37*M40+(1-M37)*L40</f>
        <v>1.0640000000000001</v>
      </c>
      <c r="P40" s="212"/>
    </row>
    <row r="41" spans="3:16" x14ac:dyDescent="0.3">
      <c r="C41" s="88" t="s">
        <v>360</v>
      </c>
      <c r="D41" s="82">
        <v>1</v>
      </c>
      <c r="F41" s="84">
        <v>1500000</v>
      </c>
      <c r="G41" s="84">
        <v>1500000</v>
      </c>
      <c r="I41" s="211">
        <f>D41</f>
        <v>1</v>
      </c>
      <c r="J41" s="210">
        <f>G41/F41</f>
        <v>1</v>
      </c>
      <c r="K41" s="87">
        <f>J41/M27</f>
        <v>1.3333333333333333</v>
      </c>
      <c r="L41" s="87">
        <f>I41</f>
        <v>1</v>
      </c>
      <c r="M41" s="87">
        <f>K41*I41</f>
        <v>1.3333333333333333</v>
      </c>
      <c r="N41" s="87">
        <f>M37*M41+(1-M37)*L41</f>
        <v>1.0333333333333332</v>
      </c>
      <c r="P41" s="209"/>
    </row>
    <row r="42" spans="3:16" x14ac:dyDescent="0.3">
      <c r="C42" s="83" t="s">
        <v>359</v>
      </c>
      <c r="D42" s="82">
        <v>1</v>
      </c>
      <c r="F42" s="84">
        <v>2000000</v>
      </c>
      <c r="G42" s="84">
        <v>1600000</v>
      </c>
      <c r="I42" s="211">
        <f>D42</f>
        <v>1</v>
      </c>
      <c r="J42" s="210">
        <f>G42/F42</f>
        <v>0.8</v>
      </c>
      <c r="K42" s="87">
        <f>J42/M27</f>
        <v>1.0666666666666667</v>
      </c>
      <c r="L42" s="87">
        <f>I42</f>
        <v>1</v>
      </c>
      <c r="M42" s="87">
        <f>K42*I42</f>
        <v>1.0666666666666667</v>
      </c>
      <c r="N42" s="87">
        <f>M37*M42+(1-M37)*L42</f>
        <v>1.0066666666666666</v>
      </c>
      <c r="P42" s="209">
        <f>N42/I42</f>
        <v>1.0066666666666666</v>
      </c>
    </row>
    <row r="43" spans="3:16" x14ac:dyDescent="0.3">
      <c r="C43" s="83" t="s">
        <v>358</v>
      </c>
      <c r="D43" s="82">
        <v>0.95</v>
      </c>
      <c r="F43" s="84">
        <v>2000000</v>
      </c>
      <c r="G43" s="84">
        <v>1700000</v>
      </c>
      <c r="I43" s="211">
        <f>D43</f>
        <v>0.95</v>
      </c>
      <c r="J43" s="210">
        <f>G43/F43</f>
        <v>0.85</v>
      </c>
      <c r="K43" s="87">
        <f>J43/M27</f>
        <v>1.1333333333333333</v>
      </c>
      <c r="L43" s="87">
        <f>I43</f>
        <v>0.95</v>
      </c>
      <c r="M43" s="87">
        <f>K43*I43</f>
        <v>1.0766666666666667</v>
      </c>
      <c r="N43" s="87">
        <f>M37*M43+(1-M37)*L43</f>
        <v>0.96266666666666667</v>
      </c>
      <c r="P43" s="209"/>
    </row>
    <row r="44" spans="3:16" x14ac:dyDescent="0.3">
      <c r="C44" s="83" t="s">
        <v>357</v>
      </c>
      <c r="D44" s="82">
        <v>1.1000000000000001</v>
      </c>
      <c r="F44" s="84">
        <v>3500000</v>
      </c>
      <c r="G44" s="84">
        <v>1850000</v>
      </c>
      <c r="I44" s="208">
        <f>D44</f>
        <v>1.1000000000000001</v>
      </c>
      <c r="J44" s="207">
        <f>G44/F44</f>
        <v>0.52857142857142858</v>
      </c>
      <c r="K44" s="206">
        <f>J44/M27</f>
        <v>0.70476190476190481</v>
      </c>
      <c r="L44" s="206">
        <f>I44</f>
        <v>1.1000000000000001</v>
      </c>
      <c r="M44" s="206">
        <f>K44*I44</f>
        <v>0.77523809523809539</v>
      </c>
      <c r="N44" s="206">
        <f>M37*M44+(1-M37)*L44</f>
        <v>1.0675238095238095</v>
      </c>
      <c r="P44" s="205"/>
    </row>
    <row r="45" spans="3:16" x14ac:dyDescent="0.3">
      <c r="D45" s="87"/>
      <c r="P45" s="204"/>
    </row>
    <row r="46" spans="3:16" x14ac:dyDescent="0.3">
      <c r="D46" s="87"/>
      <c r="F46" s="79" t="s">
        <v>356</v>
      </c>
      <c r="P46" s="214" t="s">
        <v>49</v>
      </c>
    </row>
    <row r="47" spans="3:16" x14ac:dyDescent="0.3">
      <c r="C47" s="86" t="s">
        <v>49</v>
      </c>
      <c r="D47" s="82" t="s">
        <v>123</v>
      </c>
      <c r="F47" s="85" t="s">
        <v>40</v>
      </c>
      <c r="G47" s="85" t="s">
        <v>39</v>
      </c>
      <c r="I47" s="85" t="s">
        <v>677</v>
      </c>
      <c r="J47" s="85" t="s">
        <v>546</v>
      </c>
      <c r="K47" s="85" t="s">
        <v>674</v>
      </c>
      <c r="L47" s="85" t="s">
        <v>686</v>
      </c>
      <c r="M47" s="85" t="s">
        <v>685</v>
      </c>
      <c r="N47" s="85" t="s">
        <v>684</v>
      </c>
      <c r="P47" s="213" t="s">
        <v>123</v>
      </c>
    </row>
    <row r="48" spans="3:16" x14ac:dyDescent="0.3">
      <c r="C48" s="83" t="s">
        <v>48</v>
      </c>
      <c r="D48" s="82">
        <v>1</v>
      </c>
      <c r="F48" s="84">
        <v>2300000</v>
      </c>
      <c r="G48" s="84">
        <v>1400000</v>
      </c>
      <c r="I48" s="211">
        <f>D48</f>
        <v>1</v>
      </c>
      <c r="J48" s="210">
        <f>G48/F48</f>
        <v>0.60869565217391308</v>
      </c>
      <c r="K48" s="87">
        <f>J48/M27</f>
        <v>0.81159420289855078</v>
      </c>
      <c r="L48" s="87">
        <f>I48</f>
        <v>1</v>
      </c>
      <c r="M48" s="87">
        <f>K48*I48</f>
        <v>0.81159420289855078</v>
      </c>
      <c r="N48" s="87">
        <f>M37*M48+(1-M37)*L48</f>
        <v>0.98115942028985503</v>
      </c>
      <c r="P48" s="212"/>
    </row>
    <row r="49" spans="3:16" x14ac:dyDescent="0.3">
      <c r="C49" s="83" t="s">
        <v>47</v>
      </c>
      <c r="D49" s="82">
        <v>1.1000000000000001</v>
      </c>
      <c r="F49" s="81">
        <v>1700000</v>
      </c>
      <c r="G49" s="81">
        <v>1400000</v>
      </c>
      <c r="I49" s="211">
        <f>D49</f>
        <v>1.1000000000000001</v>
      </c>
      <c r="J49" s="210">
        <f>G49/F49</f>
        <v>0.82352941176470584</v>
      </c>
      <c r="K49" s="87">
        <f>J49/M27</f>
        <v>1.0980392156862744</v>
      </c>
      <c r="L49" s="87">
        <f>I49</f>
        <v>1.1000000000000001</v>
      </c>
      <c r="M49" s="87">
        <f>K49*I49</f>
        <v>1.2078431372549019</v>
      </c>
      <c r="N49" s="87">
        <f>M37*M49+(1-M37)*L49</f>
        <v>1.1107843137254902</v>
      </c>
      <c r="P49" s="209"/>
    </row>
    <row r="50" spans="3:16" x14ac:dyDescent="0.3">
      <c r="C50" s="83" t="s">
        <v>46</v>
      </c>
      <c r="D50" s="82">
        <v>0.95</v>
      </c>
      <c r="F50" s="81">
        <v>2000000</v>
      </c>
      <c r="G50" s="81">
        <v>1900000</v>
      </c>
      <c r="I50" s="211">
        <f>D50</f>
        <v>0.95</v>
      </c>
      <c r="J50" s="210">
        <f>G50/F50</f>
        <v>0.95</v>
      </c>
      <c r="K50" s="87">
        <f>J50/M27</f>
        <v>1.2666666666666666</v>
      </c>
      <c r="L50" s="87">
        <f>I50</f>
        <v>0.95</v>
      </c>
      <c r="M50" s="87">
        <f>K50*I50</f>
        <v>1.2033333333333331</v>
      </c>
      <c r="N50" s="87">
        <f>M37*M50+(1-M37)*L50</f>
        <v>0.97533333333333327</v>
      </c>
      <c r="P50" s="209">
        <f>N50/I50</f>
        <v>1.0266666666666666</v>
      </c>
    </row>
    <row r="51" spans="3:16" x14ac:dyDescent="0.3">
      <c r="C51" s="83" t="s">
        <v>45</v>
      </c>
      <c r="D51" s="82">
        <v>1.1000000000000001</v>
      </c>
      <c r="F51" s="81">
        <v>1250000</v>
      </c>
      <c r="G51" s="81">
        <v>1100000</v>
      </c>
      <c r="I51" s="211">
        <f>D51</f>
        <v>1.1000000000000001</v>
      </c>
      <c r="J51" s="210">
        <f>G51/F51</f>
        <v>0.88</v>
      </c>
      <c r="K51" s="87">
        <f>J51/M27</f>
        <v>1.1733333333333333</v>
      </c>
      <c r="L51" s="87">
        <f>I51</f>
        <v>1.1000000000000001</v>
      </c>
      <c r="M51" s="87">
        <f>K51*I51</f>
        <v>1.2906666666666669</v>
      </c>
      <c r="N51" s="87">
        <f>M37*M51+(1-M37)*L51</f>
        <v>1.1190666666666669</v>
      </c>
      <c r="P51" s="209"/>
    </row>
    <row r="52" spans="3:16" x14ac:dyDescent="0.3">
      <c r="C52" s="83" t="s">
        <v>44</v>
      </c>
      <c r="D52" s="82">
        <v>1</v>
      </c>
      <c r="F52" s="81">
        <v>2750000</v>
      </c>
      <c r="G52" s="81">
        <v>1700000</v>
      </c>
      <c r="I52" s="208">
        <f>D52</f>
        <v>1</v>
      </c>
      <c r="J52" s="207">
        <f>G52/F52</f>
        <v>0.61818181818181817</v>
      </c>
      <c r="K52" s="206">
        <f>J52/M27</f>
        <v>0.82424242424242422</v>
      </c>
      <c r="L52" s="206">
        <f>I52</f>
        <v>1</v>
      </c>
      <c r="M52" s="206">
        <f>K52*I52</f>
        <v>0.82424242424242422</v>
      </c>
      <c r="N52" s="206">
        <f>M37*M52+(1-M37)*L52</f>
        <v>0.98242424242424242</v>
      </c>
      <c r="P52" s="205"/>
    </row>
    <row r="53" spans="3:16" x14ac:dyDescent="0.3">
      <c r="D53" s="80"/>
      <c r="P53" s="204"/>
    </row>
    <row r="54" spans="3:16" x14ac:dyDescent="0.3">
      <c r="N54" s="202" t="s">
        <v>683</v>
      </c>
      <c r="P54" s="203">
        <f>PRODUCT(P35:P53)</f>
        <v>1.1317629415542707</v>
      </c>
    </row>
    <row r="55" spans="3:16" x14ac:dyDescent="0.3">
      <c r="N55" s="202" t="s">
        <v>682</v>
      </c>
      <c r="P55" s="201">
        <f>P54-1</f>
        <v>0.13176294155427071</v>
      </c>
    </row>
  </sheetData>
  <mergeCells count="4">
    <mergeCell ref="C10:F10"/>
    <mergeCell ref="C22:G22"/>
    <mergeCell ref="I22:M22"/>
    <mergeCell ref="I26:J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444F-A344-41BD-A784-BB362C71413A}">
  <sheetPr>
    <tabColor theme="9" tint="0.59999389629810485"/>
  </sheetPr>
  <dimension ref="A1:X96"/>
  <sheetViews>
    <sheetView workbookViewId="0">
      <selection activeCell="C57" sqref="C57"/>
    </sheetView>
  </sheetViews>
  <sheetFormatPr defaultRowHeight="14.4" x14ac:dyDescent="0.3"/>
  <cols>
    <col min="3" max="3" width="15.33203125" customWidth="1"/>
    <col min="4" max="4" width="20.6640625" customWidth="1"/>
    <col min="5" max="5" width="13.88671875" customWidth="1"/>
    <col min="11" max="11" width="9.88671875" bestFit="1" customWidth="1"/>
  </cols>
  <sheetData>
    <row r="1" spans="1:13" ht="15" thickBot="1" x14ac:dyDescent="0.35">
      <c r="A1" t="s">
        <v>17</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s="1">
        <v>0.04</v>
      </c>
      <c r="D12" t="s">
        <v>11</v>
      </c>
    </row>
    <row r="13" spans="1:13" ht="15" thickBot="1" x14ac:dyDescent="0.35"/>
    <row r="14" spans="1:13" ht="15" thickBot="1" x14ac:dyDescent="0.35">
      <c r="C14" s="399" t="s">
        <v>10</v>
      </c>
      <c r="D14" s="400"/>
      <c r="E14" s="400"/>
      <c r="F14" s="400"/>
      <c r="G14" s="401"/>
      <c r="I14" s="399" t="s">
        <v>0</v>
      </c>
      <c r="J14" s="400"/>
      <c r="K14" s="400"/>
      <c r="L14" s="400"/>
      <c r="M14" s="401"/>
    </row>
    <row r="15" spans="1:13" s="2" customFormat="1" x14ac:dyDescent="0.3">
      <c r="A15" s="2" t="s">
        <v>9</v>
      </c>
    </row>
    <row r="18" spans="3:24" x14ac:dyDescent="0.3">
      <c r="C18" t="s">
        <v>8</v>
      </c>
    </row>
    <row r="19" spans="3:24" x14ac:dyDescent="0.3">
      <c r="C19" t="s">
        <v>7</v>
      </c>
      <c r="D19" t="s">
        <v>6</v>
      </c>
      <c r="E19" t="s">
        <v>5</v>
      </c>
      <c r="I19" s="2" t="s">
        <v>28</v>
      </c>
      <c r="J19" s="2" t="s">
        <v>27</v>
      </c>
      <c r="K19" s="2" t="s">
        <v>26</v>
      </c>
      <c r="L19" s="2" t="s">
        <v>25</v>
      </c>
      <c r="M19" s="2" t="s">
        <v>24</v>
      </c>
    </row>
    <row r="20" spans="3:24" x14ac:dyDescent="0.3">
      <c r="C20">
        <v>40</v>
      </c>
      <c r="D20">
        <v>3.6869000000000001</v>
      </c>
      <c r="E20" s="3">
        <v>0.3</v>
      </c>
      <c r="I20">
        <v>1</v>
      </c>
      <c r="J20" s="3">
        <f t="shared" ref="J20:J30" si="0">E20</f>
        <v>0.3</v>
      </c>
      <c r="K20" s="3">
        <f>1-J20</f>
        <v>0.7</v>
      </c>
      <c r="L20">
        <f t="shared" ref="L20:L30" si="1">1/(1+$C$12)^I20</f>
        <v>0.96153846153846145</v>
      </c>
      <c r="M20">
        <f t="shared" ref="M20:M30" si="2">D20</f>
        <v>3.6869000000000001</v>
      </c>
      <c r="N20" s="8" t="s">
        <v>32</v>
      </c>
      <c r="O20" s="8"/>
      <c r="P20" s="8"/>
      <c r="Q20" s="8"/>
      <c r="R20" s="8"/>
      <c r="S20" s="8"/>
      <c r="T20" s="8"/>
      <c r="U20" s="8"/>
      <c r="V20" s="8"/>
      <c r="W20" s="8"/>
      <c r="X20" s="8"/>
    </row>
    <row r="21" spans="3:24" x14ac:dyDescent="0.3">
      <c r="C21">
        <v>41</v>
      </c>
      <c r="D21">
        <v>4.1143999999999998</v>
      </c>
      <c r="E21" s="3">
        <v>0.2</v>
      </c>
      <c r="I21">
        <f t="shared" ref="I21:I30" si="3">1+I20</f>
        <v>2</v>
      </c>
      <c r="J21" s="3">
        <f t="shared" si="0"/>
        <v>0.2</v>
      </c>
      <c r="K21" s="3">
        <f t="shared" ref="K21:K30" si="4">K20*(1-J21)</f>
        <v>0.55999999999999994</v>
      </c>
      <c r="L21">
        <f t="shared" si="1"/>
        <v>0.92455621301775137</v>
      </c>
      <c r="M21">
        <f t="shared" si="2"/>
        <v>4.1143999999999998</v>
      </c>
    </row>
    <row r="22" spans="3:24" x14ac:dyDescent="0.3">
      <c r="C22">
        <v>42</v>
      </c>
      <c r="D22">
        <v>4.6026999999999996</v>
      </c>
      <c r="E22" s="3">
        <v>0.1</v>
      </c>
      <c r="I22">
        <f t="shared" si="3"/>
        <v>3</v>
      </c>
      <c r="J22" s="3">
        <f t="shared" si="0"/>
        <v>0.1</v>
      </c>
      <c r="K22" s="3">
        <f t="shared" si="4"/>
        <v>0.504</v>
      </c>
      <c r="L22">
        <f t="shared" si="1"/>
        <v>0.88899635867091487</v>
      </c>
      <c r="M22">
        <f t="shared" si="2"/>
        <v>4.6026999999999996</v>
      </c>
    </row>
    <row r="23" spans="3:24" x14ac:dyDescent="0.3">
      <c r="C23">
        <v>43</v>
      </c>
      <c r="D23">
        <v>5.1402000000000001</v>
      </c>
      <c r="E23" s="3">
        <v>0.1</v>
      </c>
      <c r="I23">
        <f t="shared" si="3"/>
        <v>4</v>
      </c>
      <c r="J23" s="3">
        <f t="shared" si="0"/>
        <v>0.1</v>
      </c>
      <c r="K23" s="3">
        <f t="shared" si="4"/>
        <v>0.4536</v>
      </c>
      <c r="L23">
        <f t="shared" si="1"/>
        <v>0.85480419102972571</v>
      </c>
      <c r="M23">
        <f t="shared" si="2"/>
        <v>5.1402000000000001</v>
      </c>
    </row>
    <row r="24" spans="3:24" x14ac:dyDescent="0.3">
      <c r="C24">
        <v>44</v>
      </c>
      <c r="D24">
        <v>5.6783999999999999</v>
      </c>
      <c r="E24" s="3">
        <v>0.1</v>
      </c>
      <c r="I24">
        <f t="shared" si="3"/>
        <v>5</v>
      </c>
      <c r="J24" s="3">
        <f t="shared" si="0"/>
        <v>0.1</v>
      </c>
      <c r="K24" s="3">
        <f t="shared" si="4"/>
        <v>0.40823999999999999</v>
      </c>
      <c r="L24">
        <f t="shared" si="1"/>
        <v>0.82192710675935154</v>
      </c>
      <c r="M24">
        <f t="shared" si="2"/>
        <v>5.6783999999999999</v>
      </c>
    </row>
    <row r="25" spans="3:24" x14ac:dyDescent="0.3">
      <c r="C25">
        <v>45</v>
      </c>
      <c r="D25">
        <v>6.2865000000000002</v>
      </c>
      <c r="E25" s="3">
        <v>0.1</v>
      </c>
      <c r="I25">
        <f t="shared" si="3"/>
        <v>6</v>
      </c>
      <c r="J25" s="3">
        <f t="shared" si="0"/>
        <v>0.1</v>
      </c>
      <c r="K25" s="3">
        <f t="shared" si="4"/>
        <v>0.36741600000000002</v>
      </c>
      <c r="L25">
        <f t="shared" si="1"/>
        <v>0.79031452573014571</v>
      </c>
      <c r="M25">
        <f t="shared" si="2"/>
        <v>6.2865000000000002</v>
      </c>
    </row>
    <row r="26" spans="3:24" x14ac:dyDescent="0.3">
      <c r="C26">
        <v>46</v>
      </c>
      <c r="D26">
        <v>6.9787999999999997</v>
      </c>
      <c r="E26" s="3">
        <v>0.1</v>
      </c>
      <c r="I26">
        <f t="shared" si="3"/>
        <v>7</v>
      </c>
      <c r="J26" s="3">
        <f t="shared" si="0"/>
        <v>0.1</v>
      </c>
      <c r="K26" s="3">
        <f t="shared" si="4"/>
        <v>0.33067440000000003</v>
      </c>
      <c r="L26">
        <f t="shared" si="1"/>
        <v>0.75991781320206331</v>
      </c>
      <c r="M26">
        <f t="shared" si="2"/>
        <v>6.9787999999999997</v>
      </c>
    </row>
    <row r="27" spans="3:24" x14ac:dyDescent="0.3">
      <c r="C27">
        <v>47</v>
      </c>
      <c r="D27">
        <v>7.7689000000000004</v>
      </c>
      <c r="E27" s="3">
        <v>0.1</v>
      </c>
      <c r="I27">
        <f t="shared" si="3"/>
        <v>8</v>
      </c>
      <c r="J27" s="3">
        <f t="shared" si="0"/>
        <v>0.1</v>
      </c>
      <c r="K27" s="3">
        <f t="shared" si="4"/>
        <v>0.29760696000000003</v>
      </c>
      <c r="L27">
        <f t="shared" si="1"/>
        <v>0.73069020500198378</v>
      </c>
      <c r="M27">
        <f t="shared" si="2"/>
        <v>7.7689000000000004</v>
      </c>
    </row>
    <row r="28" spans="3:24" x14ac:dyDescent="0.3">
      <c r="C28">
        <v>48</v>
      </c>
      <c r="D28">
        <v>8.7133000000000003</v>
      </c>
      <c r="E28" s="3">
        <v>0.1</v>
      </c>
      <c r="I28">
        <f t="shared" si="3"/>
        <v>9</v>
      </c>
      <c r="J28" s="3">
        <f t="shared" si="0"/>
        <v>0.1</v>
      </c>
      <c r="K28" s="3">
        <f t="shared" si="4"/>
        <v>0.26784626400000006</v>
      </c>
      <c r="L28">
        <f t="shared" si="1"/>
        <v>0.70258673557883045</v>
      </c>
      <c r="M28">
        <f t="shared" si="2"/>
        <v>8.7133000000000003</v>
      </c>
    </row>
    <row r="29" spans="3:24" x14ac:dyDescent="0.3">
      <c r="C29">
        <v>49</v>
      </c>
      <c r="D29">
        <v>9.7365999999999993</v>
      </c>
      <c r="E29" s="3">
        <v>0.1</v>
      </c>
      <c r="I29">
        <f t="shared" si="3"/>
        <v>10</v>
      </c>
      <c r="J29" s="3">
        <f t="shared" si="0"/>
        <v>0.1</v>
      </c>
      <c r="K29" s="3">
        <f t="shared" si="4"/>
        <v>0.24106163760000004</v>
      </c>
      <c r="L29">
        <f t="shared" si="1"/>
        <v>0.67556416882579851</v>
      </c>
      <c r="M29">
        <f t="shared" si="2"/>
        <v>9.7365999999999993</v>
      </c>
    </row>
    <row r="30" spans="3:24" x14ac:dyDescent="0.3">
      <c r="C30">
        <v>50</v>
      </c>
      <c r="D30">
        <v>10.931900000000001</v>
      </c>
      <c r="E30" s="3">
        <v>0.1</v>
      </c>
      <c r="I30" s="2">
        <f t="shared" si="3"/>
        <v>11</v>
      </c>
      <c r="J30" s="14">
        <f t="shared" si="0"/>
        <v>0.1</v>
      </c>
      <c r="K30" s="14">
        <f t="shared" si="4"/>
        <v>0.21695547384000005</v>
      </c>
      <c r="L30" s="2">
        <f t="shared" si="1"/>
        <v>0.6495809315632679</v>
      </c>
      <c r="M30" s="2">
        <f t="shared" si="2"/>
        <v>10.931900000000001</v>
      </c>
    </row>
    <row r="31" spans="3:24" x14ac:dyDescent="0.3">
      <c r="E31" s="3"/>
      <c r="J31" s="3"/>
      <c r="M31" s="4">
        <f>SUMPRODUCT(M20:M30,L20:L30,K20:K30)</f>
        <v>20.606970419321229</v>
      </c>
      <c r="N31" s="8" t="s">
        <v>31</v>
      </c>
      <c r="O31" s="8"/>
      <c r="P31" s="8"/>
      <c r="Q31" s="8"/>
    </row>
    <row r="32" spans="3:24" x14ac:dyDescent="0.3">
      <c r="E32" s="3"/>
      <c r="I32">
        <v>0.02</v>
      </c>
      <c r="J32" s="3" t="s">
        <v>29</v>
      </c>
    </row>
    <row r="33" spans="5:18" x14ac:dyDescent="0.3">
      <c r="E33" s="3"/>
      <c r="J33" s="3"/>
    </row>
    <row r="34" spans="5:18" x14ac:dyDescent="0.3">
      <c r="E34" s="3"/>
      <c r="I34" s="2" t="s">
        <v>28</v>
      </c>
      <c r="J34" s="2" t="s">
        <v>27</v>
      </c>
      <c r="K34" s="2" t="s">
        <v>26</v>
      </c>
      <c r="L34" s="2" t="s">
        <v>25</v>
      </c>
      <c r="M34" s="2" t="s">
        <v>24</v>
      </c>
    </row>
    <row r="35" spans="5:18" x14ac:dyDescent="0.3">
      <c r="E35" s="3"/>
      <c r="I35">
        <v>1</v>
      </c>
      <c r="J35" s="3">
        <f t="shared" ref="J35:J45" si="5">J20+$I$32</f>
        <v>0.32</v>
      </c>
      <c r="K35" s="3">
        <f>1-J35</f>
        <v>0.67999999999999994</v>
      </c>
      <c r="L35">
        <f t="shared" ref="L35:L45" si="6">1/(1+$C$12)^I35</f>
        <v>0.96153846153846145</v>
      </c>
      <c r="M35">
        <f t="shared" ref="M35:M45" si="7">M20</f>
        <v>3.6869000000000001</v>
      </c>
    </row>
    <row r="36" spans="5:18" x14ac:dyDescent="0.3">
      <c r="E36" s="3"/>
      <c r="I36">
        <f t="shared" ref="I36:I45" si="8">1+I35</f>
        <v>2</v>
      </c>
      <c r="J36" s="3">
        <f t="shared" si="5"/>
        <v>0.22</v>
      </c>
      <c r="K36" s="17">
        <f t="shared" ref="K36:K45" si="9">K35*(1-J36)</f>
        <v>0.53039999999999998</v>
      </c>
      <c r="L36">
        <f t="shared" si="6"/>
        <v>0.92455621301775137</v>
      </c>
      <c r="M36">
        <f t="shared" si="7"/>
        <v>4.1143999999999998</v>
      </c>
    </row>
    <row r="37" spans="5:18" x14ac:dyDescent="0.3">
      <c r="E37" s="3"/>
      <c r="I37">
        <f t="shared" si="8"/>
        <v>3</v>
      </c>
      <c r="J37" s="3">
        <f t="shared" si="5"/>
        <v>0.12000000000000001</v>
      </c>
      <c r="K37" s="17">
        <f t="shared" si="9"/>
        <v>0.466752</v>
      </c>
      <c r="L37">
        <f t="shared" si="6"/>
        <v>0.88899635867091487</v>
      </c>
      <c r="M37">
        <f t="shared" si="7"/>
        <v>4.6026999999999996</v>
      </c>
    </row>
    <row r="38" spans="5:18" x14ac:dyDescent="0.3">
      <c r="E38" s="3"/>
      <c r="I38">
        <f t="shared" si="8"/>
        <v>4</v>
      </c>
      <c r="J38" s="3">
        <f t="shared" si="5"/>
        <v>0.12000000000000001</v>
      </c>
      <c r="K38" s="17">
        <f t="shared" si="9"/>
        <v>0.41074176000000001</v>
      </c>
      <c r="L38">
        <f t="shared" si="6"/>
        <v>0.85480419102972571</v>
      </c>
      <c r="M38">
        <f t="shared" si="7"/>
        <v>5.1402000000000001</v>
      </c>
    </row>
    <row r="39" spans="5:18" x14ac:dyDescent="0.3">
      <c r="E39" s="3"/>
      <c r="I39">
        <f t="shared" si="8"/>
        <v>5</v>
      </c>
      <c r="J39" s="3">
        <f t="shared" si="5"/>
        <v>0.12000000000000001</v>
      </c>
      <c r="K39" s="17">
        <f t="shared" si="9"/>
        <v>0.3614527488</v>
      </c>
      <c r="L39">
        <f t="shared" si="6"/>
        <v>0.82192710675935154</v>
      </c>
      <c r="M39">
        <f t="shared" si="7"/>
        <v>5.6783999999999999</v>
      </c>
    </row>
    <row r="40" spans="5:18" x14ac:dyDescent="0.3">
      <c r="E40" s="3"/>
      <c r="I40">
        <f t="shared" si="8"/>
        <v>6</v>
      </c>
      <c r="J40" s="3">
        <f t="shared" si="5"/>
        <v>0.12000000000000001</v>
      </c>
      <c r="K40" s="17">
        <f t="shared" si="9"/>
        <v>0.31807841894400002</v>
      </c>
      <c r="L40">
        <f t="shared" si="6"/>
        <v>0.79031452573014571</v>
      </c>
      <c r="M40">
        <f t="shared" si="7"/>
        <v>6.2865000000000002</v>
      </c>
    </row>
    <row r="41" spans="5:18" x14ac:dyDescent="0.3">
      <c r="E41" s="3"/>
      <c r="I41">
        <f t="shared" si="8"/>
        <v>7</v>
      </c>
      <c r="J41" s="3">
        <f t="shared" si="5"/>
        <v>0.12000000000000001</v>
      </c>
      <c r="K41" s="17">
        <f t="shared" si="9"/>
        <v>0.27990900867071999</v>
      </c>
      <c r="L41">
        <f t="shared" si="6"/>
        <v>0.75991781320206331</v>
      </c>
      <c r="M41">
        <f t="shared" si="7"/>
        <v>6.9787999999999997</v>
      </c>
    </row>
    <row r="42" spans="5:18" x14ac:dyDescent="0.3">
      <c r="E42" s="3"/>
      <c r="I42">
        <f t="shared" si="8"/>
        <v>8</v>
      </c>
      <c r="J42" s="3">
        <f t="shared" si="5"/>
        <v>0.12000000000000001</v>
      </c>
      <c r="K42" s="17">
        <f t="shared" si="9"/>
        <v>0.24631992763023361</v>
      </c>
      <c r="L42">
        <f t="shared" si="6"/>
        <v>0.73069020500198378</v>
      </c>
      <c r="M42">
        <f t="shared" si="7"/>
        <v>7.7689000000000004</v>
      </c>
    </row>
    <row r="43" spans="5:18" x14ac:dyDescent="0.3">
      <c r="E43" s="3"/>
      <c r="I43">
        <f t="shared" si="8"/>
        <v>9</v>
      </c>
      <c r="J43" s="3">
        <f t="shared" si="5"/>
        <v>0.12000000000000001</v>
      </c>
      <c r="K43" s="17">
        <f t="shared" si="9"/>
        <v>0.21676153631460557</v>
      </c>
      <c r="L43">
        <f t="shared" si="6"/>
        <v>0.70258673557883045</v>
      </c>
      <c r="M43">
        <f t="shared" si="7"/>
        <v>8.7133000000000003</v>
      </c>
    </row>
    <row r="44" spans="5:18" x14ac:dyDescent="0.3">
      <c r="E44" s="3"/>
      <c r="I44">
        <f t="shared" si="8"/>
        <v>10</v>
      </c>
      <c r="J44" s="3">
        <f t="shared" si="5"/>
        <v>0.12000000000000001</v>
      </c>
      <c r="K44" s="17">
        <f t="shared" si="9"/>
        <v>0.19075015195685291</v>
      </c>
      <c r="L44">
        <f t="shared" si="6"/>
        <v>0.67556416882579851</v>
      </c>
      <c r="M44">
        <f t="shared" si="7"/>
        <v>9.7365999999999993</v>
      </c>
    </row>
    <row r="45" spans="5:18" x14ac:dyDescent="0.3">
      <c r="E45" s="3"/>
      <c r="I45" s="2">
        <f t="shared" si="8"/>
        <v>11</v>
      </c>
      <c r="J45" s="14">
        <f t="shared" si="5"/>
        <v>0.12000000000000001</v>
      </c>
      <c r="K45" s="16">
        <f t="shared" si="9"/>
        <v>0.16786013372203057</v>
      </c>
      <c r="L45" s="2">
        <f t="shared" si="6"/>
        <v>0.6495809315632679</v>
      </c>
      <c r="M45" s="2">
        <f t="shared" si="7"/>
        <v>10.931900000000001</v>
      </c>
    </row>
    <row r="46" spans="5:18" x14ac:dyDescent="0.3">
      <c r="E46" s="3"/>
      <c r="J46" s="3"/>
      <c r="M46" s="4">
        <f>SUMPRODUCT(M35:M45,L35:L45,K35:K45)</f>
        <v>18.066590660050871</v>
      </c>
      <c r="N46" s="8" t="s">
        <v>30</v>
      </c>
      <c r="O46" s="8"/>
      <c r="P46" s="8"/>
      <c r="Q46" s="8"/>
      <c r="R46" s="8"/>
    </row>
    <row r="47" spans="5:18" x14ac:dyDescent="0.3">
      <c r="E47" s="3"/>
      <c r="I47">
        <v>-0.02</v>
      </c>
      <c r="J47" s="3" t="s">
        <v>29</v>
      </c>
    </row>
    <row r="48" spans="5:18" x14ac:dyDescent="0.3">
      <c r="E48" s="3"/>
      <c r="J48" s="3"/>
    </row>
    <row r="49" spans="5:18" x14ac:dyDescent="0.3">
      <c r="E49" s="3"/>
      <c r="I49" s="2" t="s">
        <v>28</v>
      </c>
      <c r="J49" s="2" t="s">
        <v>27</v>
      </c>
      <c r="K49" s="2" t="s">
        <v>26</v>
      </c>
      <c r="L49" s="2" t="s">
        <v>25</v>
      </c>
      <c r="M49" s="2" t="s">
        <v>24</v>
      </c>
    </row>
    <row r="50" spans="5:18" x14ac:dyDescent="0.3">
      <c r="E50" s="3"/>
      <c r="I50">
        <v>1</v>
      </c>
      <c r="J50" s="3">
        <f t="shared" ref="J50:J60" si="10">J20+$I$47</f>
        <v>0.27999999999999997</v>
      </c>
      <c r="K50" s="3">
        <f>1-J50</f>
        <v>0.72</v>
      </c>
      <c r="L50">
        <f t="shared" ref="L50:L60" si="11">1/(1+$C$12)^I50</f>
        <v>0.96153846153846145</v>
      </c>
      <c r="M50">
        <f t="shared" ref="M50:M60" si="12">M35</f>
        <v>3.6869000000000001</v>
      </c>
    </row>
    <row r="51" spans="5:18" x14ac:dyDescent="0.3">
      <c r="E51" s="3"/>
      <c r="I51">
        <f t="shared" ref="I51:I60" si="13">1+I50</f>
        <v>2</v>
      </c>
      <c r="J51" s="3">
        <f t="shared" si="10"/>
        <v>0.18000000000000002</v>
      </c>
      <c r="K51" s="15">
        <f t="shared" ref="K51:K60" si="14">K50*(1-J51)</f>
        <v>0.59039999999999992</v>
      </c>
      <c r="L51">
        <f t="shared" si="11"/>
        <v>0.92455621301775137</v>
      </c>
      <c r="M51">
        <f t="shared" si="12"/>
        <v>4.1143999999999998</v>
      </c>
    </row>
    <row r="52" spans="5:18" x14ac:dyDescent="0.3">
      <c r="E52" s="3"/>
      <c r="I52">
        <f t="shared" si="13"/>
        <v>3</v>
      </c>
      <c r="J52" s="3">
        <f t="shared" si="10"/>
        <v>0.08</v>
      </c>
      <c r="K52" s="15">
        <f t="shared" si="14"/>
        <v>0.54316799999999998</v>
      </c>
      <c r="L52">
        <f t="shared" si="11"/>
        <v>0.88899635867091487</v>
      </c>
      <c r="M52">
        <f t="shared" si="12"/>
        <v>4.6026999999999996</v>
      </c>
    </row>
    <row r="53" spans="5:18" x14ac:dyDescent="0.3">
      <c r="E53" s="3"/>
      <c r="I53">
        <f t="shared" si="13"/>
        <v>4</v>
      </c>
      <c r="J53" s="3">
        <f t="shared" si="10"/>
        <v>0.08</v>
      </c>
      <c r="K53" s="15">
        <f t="shared" si="14"/>
        <v>0.49971456000000003</v>
      </c>
      <c r="L53">
        <f t="shared" si="11"/>
        <v>0.85480419102972571</v>
      </c>
      <c r="M53">
        <f t="shared" si="12"/>
        <v>5.1402000000000001</v>
      </c>
    </row>
    <row r="54" spans="5:18" x14ac:dyDescent="0.3">
      <c r="E54" s="3"/>
      <c r="I54">
        <f t="shared" si="13"/>
        <v>5</v>
      </c>
      <c r="J54" s="3">
        <f t="shared" si="10"/>
        <v>0.08</v>
      </c>
      <c r="K54" s="15">
        <f t="shared" si="14"/>
        <v>0.45973739520000007</v>
      </c>
      <c r="L54">
        <f t="shared" si="11"/>
        <v>0.82192710675935154</v>
      </c>
      <c r="M54">
        <f t="shared" si="12"/>
        <v>5.6783999999999999</v>
      </c>
    </row>
    <row r="55" spans="5:18" x14ac:dyDescent="0.3">
      <c r="E55" s="3"/>
      <c r="I55">
        <f t="shared" si="13"/>
        <v>6</v>
      </c>
      <c r="J55" s="3">
        <f t="shared" si="10"/>
        <v>0.08</v>
      </c>
      <c r="K55" s="15">
        <f t="shared" si="14"/>
        <v>0.42295840358400005</v>
      </c>
      <c r="L55">
        <f t="shared" si="11"/>
        <v>0.79031452573014571</v>
      </c>
      <c r="M55">
        <f t="shared" si="12"/>
        <v>6.2865000000000002</v>
      </c>
    </row>
    <row r="56" spans="5:18" x14ac:dyDescent="0.3">
      <c r="E56" s="3"/>
      <c r="I56">
        <f t="shared" si="13"/>
        <v>7</v>
      </c>
      <c r="J56" s="3">
        <f t="shared" si="10"/>
        <v>0.08</v>
      </c>
      <c r="K56" s="15">
        <f t="shared" si="14"/>
        <v>0.38912173129728006</v>
      </c>
      <c r="L56">
        <f t="shared" si="11"/>
        <v>0.75991781320206331</v>
      </c>
      <c r="M56">
        <f t="shared" si="12"/>
        <v>6.9787999999999997</v>
      </c>
    </row>
    <row r="57" spans="5:18" x14ac:dyDescent="0.3">
      <c r="E57" s="3"/>
      <c r="I57">
        <f t="shared" si="13"/>
        <v>8</v>
      </c>
      <c r="J57" s="3">
        <f t="shared" si="10"/>
        <v>0.08</v>
      </c>
      <c r="K57" s="15">
        <f t="shared" si="14"/>
        <v>0.35799199279349769</v>
      </c>
      <c r="L57">
        <f t="shared" si="11"/>
        <v>0.73069020500198378</v>
      </c>
      <c r="M57">
        <f t="shared" si="12"/>
        <v>7.7689000000000004</v>
      </c>
    </row>
    <row r="58" spans="5:18" x14ac:dyDescent="0.3">
      <c r="E58" s="3"/>
      <c r="I58">
        <f t="shared" si="13"/>
        <v>9</v>
      </c>
      <c r="J58" s="3">
        <f t="shared" si="10"/>
        <v>0.08</v>
      </c>
      <c r="K58" s="15">
        <f t="shared" si="14"/>
        <v>0.32935263337001791</v>
      </c>
      <c r="L58">
        <f t="shared" si="11"/>
        <v>0.70258673557883045</v>
      </c>
      <c r="M58">
        <f t="shared" si="12"/>
        <v>8.7133000000000003</v>
      </c>
    </row>
    <row r="59" spans="5:18" x14ac:dyDescent="0.3">
      <c r="E59" s="3"/>
      <c r="I59">
        <f t="shared" si="13"/>
        <v>10</v>
      </c>
      <c r="J59" s="3">
        <f t="shared" si="10"/>
        <v>0.08</v>
      </c>
      <c r="K59" s="15">
        <f t="shared" si="14"/>
        <v>0.3030044227004165</v>
      </c>
      <c r="L59">
        <f t="shared" si="11"/>
        <v>0.67556416882579851</v>
      </c>
      <c r="M59">
        <f t="shared" si="12"/>
        <v>9.7365999999999993</v>
      </c>
    </row>
    <row r="60" spans="5:18" x14ac:dyDescent="0.3">
      <c r="E60" s="3"/>
      <c r="I60" s="2">
        <f t="shared" si="13"/>
        <v>11</v>
      </c>
      <c r="J60" s="14">
        <f t="shared" si="10"/>
        <v>0.08</v>
      </c>
      <c r="K60" s="13">
        <f t="shared" si="14"/>
        <v>0.27876406888438321</v>
      </c>
      <c r="L60" s="2">
        <f t="shared" si="11"/>
        <v>0.6495809315632679</v>
      </c>
      <c r="M60" s="2">
        <f t="shared" si="12"/>
        <v>10.931900000000001</v>
      </c>
    </row>
    <row r="61" spans="5:18" x14ac:dyDescent="0.3">
      <c r="E61" s="3"/>
      <c r="J61" s="3"/>
      <c r="M61" s="4">
        <f>SUMPRODUCT(M50:M60,L50:L60,K50:K60)</f>
        <v>23.548339914137248</v>
      </c>
      <c r="N61" s="8" t="s">
        <v>23</v>
      </c>
      <c r="O61" s="8"/>
      <c r="P61" s="8"/>
      <c r="Q61" s="8"/>
      <c r="R61" s="8"/>
    </row>
    <row r="62" spans="5:18" x14ac:dyDescent="0.3">
      <c r="E62" s="3"/>
      <c r="J62" s="3"/>
    </row>
    <row r="63" spans="5:18" x14ac:dyDescent="0.3">
      <c r="E63" s="3"/>
      <c r="I63" t="s">
        <v>22</v>
      </c>
      <c r="J63" s="3"/>
    </row>
    <row r="64" spans="5:18" x14ac:dyDescent="0.3">
      <c r="I64" t="s">
        <v>21</v>
      </c>
    </row>
    <row r="66" spans="1:18" x14ac:dyDescent="0.3">
      <c r="I66" s="402" t="s">
        <v>20</v>
      </c>
      <c r="J66" s="402"/>
      <c r="K66" s="402"/>
      <c r="L66" s="402"/>
      <c r="M66" s="402"/>
      <c r="N66" s="402"/>
      <c r="O66" s="402"/>
      <c r="P66" s="402"/>
      <c r="Q66" s="402"/>
      <c r="R66" s="402"/>
    </row>
    <row r="67" spans="1:18" x14ac:dyDescent="0.3">
      <c r="I67" s="402"/>
      <c r="J67" s="402"/>
      <c r="K67" s="402"/>
      <c r="L67" s="402"/>
      <c r="M67" s="402"/>
      <c r="N67" s="402"/>
      <c r="O67" s="402"/>
      <c r="P67" s="402"/>
      <c r="Q67" s="402"/>
      <c r="R67" s="402"/>
    </row>
    <row r="68" spans="1:18" x14ac:dyDescent="0.3">
      <c r="I68" s="402"/>
      <c r="J68" s="402"/>
      <c r="K68" s="402"/>
      <c r="L68" s="402"/>
      <c r="M68" s="402"/>
      <c r="N68" s="402"/>
      <c r="O68" s="402"/>
      <c r="P68" s="402"/>
      <c r="Q68" s="402"/>
      <c r="R68" s="402"/>
    </row>
    <row r="69" spans="1:18" x14ac:dyDescent="0.3">
      <c r="I69" s="402"/>
      <c r="J69" s="402"/>
      <c r="K69" s="402"/>
      <c r="L69" s="402"/>
      <c r="M69" s="402"/>
      <c r="N69" s="402"/>
      <c r="O69" s="402"/>
      <c r="P69" s="402"/>
      <c r="Q69" s="402"/>
      <c r="R69" s="402"/>
    </row>
    <row r="70" spans="1:18" x14ac:dyDescent="0.3">
      <c r="I70" s="402"/>
      <c r="J70" s="402"/>
      <c r="K70" s="402"/>
      <c r="L70" s="402"/>
      <c r="M70" s="402"/>
      <c r="N70" s="402"/>
      <c r="O70" s="402"/>
      <c r="P70" s="402"/>
      <c r="Q70" s="402"/>
      <c r="R70" s="402"/>
    </row>
    <row r="71" spans="1:18" x14ac:dyDescent="0.3">
      <c r="I71" s="402"/>
      <c r="J71" s="402"/>
      <c r="K71" s="402"/>
      <c r="L71" s="402"/>
      <c r="M71" s="402"/>
      <c r="N71" s="402"/>
      <c r="O71" s="402"/>
      <c r="P71" s="402"/>
      <c r="Q71" s="402"/>
      <c r="R71" s="402"/>
    </row>
    <row r="72" spans="1:18" x14ac:dyDescent="0.3">
      <c r="I72" s="402"/>
      <c r="J72" s="402"/>
      <c r="K72" s="402"/>
      <c r="L72" s="402"/>
      <c r="M72" s="402"/>
      <c r="N72" s="402"/>
      <c r="O72" s="402"/>
      <c r="P72" s="402"/>
      <c r="Q72" s="402"/>
      <c r="R72" s="402"/>
    </row>
    <row r="73" spans="1:18" x14ac:dyDescent="0.3">
      <c r="I73" s="402"/>
      <c r="J73" s="402"/>
      <c r="K73" s="402"/>
      <c r="L73" s="402"/>
      <c r="M73" s="402"/>
      <c r="N73" s="402"/>
      <c r="O73" s="402"/>
      <c r="P73" s="402"/>
      <c r="Q73" s="402"/>
      <c r="R73" s="402"/>
    </row>
    <row r="74" spans="1:18" x14ac:dyDescent="0.3">
      <c r="I74" s="402"/>
      <c r="J74" s="402"/>
      <c r="K74" s="402"/>
      <c r="L74" s="402"/>
      <c r="M74" s="402"/>
      <c r="N74" s="402"/>
      <c r="O74" s="402"/>
      <c r="P74" s="402"/>
      <c r="Q74" s="402"/>
      <c r="R74" s="402"/>
    </row>
    <row r="75" spans="1:18" x14ac:dyDescent="0.3">
      <c r="I75" s="402"/>
      <c r="J75" s="402"/>
      <c r="K75" s="402"/>
      <c r="L75" s="402"/>
      <c r="M75" s="402"/>
      <c r="N75" s="402"/>
      <c r="O75" s="402"/>
      <c r="P75" s="402"/>
      <c r="Q75" s="402"/>
      <c r="R75" s="402"/>
    </row>
    <row r="78" spans="1:18" s="2" customFormat="1" x14ac:dyDescent="0.3">
      <c r="A78" s="2" t="s">
        <v>4</v>
      </c>
    </row>
    <row r="83" spans="2:6" ht="15" thickBot="1" x14ac:dyDescent="0.35"/>
    <row r="84" spans="2:6" ht="15" thickBot="1" x14ac:dyDescent="0.35">
      <c r="B84" s="399" t="s">
        <v>3</v>
      </c>
      <c r="C84" s="400"/>
      <c r="D84" s="400"/>
      <c r="E84" s="401"/>
    </row>
    <row r="87" spans="2:6" x14ac:dyDescent="0.3">
      <c r="B87" s="1">
        <v>0.35</v>
      </c>
      <c r="C87" t="s">
        <v>2</v>
      </c>
    </row>
    <row r="88" spans="2:6" x14ac:dyDescent="0.3">
      <c r="B88" s="1">
        <v>1.3</v>
      </c>
      <c r="C88" t="s">
        <v>1</v>
      </c>
    </row>
    <row r="90" spans="2:6" ht="15" thickBot="1" x14ac:dyDescent="0.35">
      <c r="B90" s="1"/>
    </row>
    <row r="91" spans="2:6" ht="15" thickBot="1" x14ac:dyDescent="0.35">
      <c r="B91" s="399" t="s">
        <v>0</v>
      </c>
      <c r="C91" s="400"/>
      <c r="D91" s="400"/>
      <c r="E91" s="400"/>
      <c r="F91" s="401"/>
    </row>
    <row r="94" spans="2:6" x14ac:dyDescent="0.3">
      <c r="B94" s="12">
        <f>B87*B88+(1-B87)*1</f>
        <v>1.105</v>
      </c>
      <c r="C94" s="8" t="s">
        <v>19</v>
      </c>
      <c r="D94" s="8"/>
    </row>
    <row r="96" spans="2:6" x14ac:dyDescent="0.3">
      <c r="B96" s="11">
        <f>B94-1</f>
        <v>0.10499999999999998</v>
      </c>
      <c r="C96" t="s">
        <v>18</v>
      </c>
    </row>
  </sheetData>
  <mergeCells count="6">
    <mergeCell ref="B91:F91"/>
    <mergeCell ref="C10:F10"/>
    <mergeCell ref="C14:G14"/>
    <mergeCell ref="I14:M14"/>
    <mergeCell ref="I66:R75"/>
    <mergeCell ref="B84:E84"/>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4743E-0CE0-459D-8240-0DBE035CBF31}">
  <sheetPr>
    <tabColor theme="5" tint="0.39997558519241921"/>
  </sheetPr>
  <dimension ref="A1:M37"/>
  <sheetViews>
    <sheetView workbookViewId="0">
      <selection activeCell="U46" sqref="U46"/>
    </sheetView>
  </sheetViews>
  <sheetFormatPr defaultRowHeight="14.4" x14ac:dyDescent="0.3"/>
  <sheetData>
    <row r="1" spans="1:13" ht="15" thickBot="1" x14ac:dyDescent="0.35">
      <c r="A1" t="s">
        <v>380</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s="34">
        <v>0.75</v>
      </c>
      <c r="D12" t="s">
        <v>379</v>
      </c>
    </row>
    <row r="13" spans="1:13" ht="15" thickBot="1" x14ac:dyDescent="0.35"/>
    <row r="14" spans="1:13" ht="15" thickBot="1" x14ac:dyDescent="0.35">
      <c r="C14" s="399" t="s">
        <v>10</v>
      </c>
      <c r="D14" s="400"/>
      <c r="E14" s="400"/>
      <c r="F14" s="400"/>
      <c r="G14" s="401"/>
      <c r="I14" s="399" t="s">
        <v>0</v>
      </c>
      <c r="J14" s="400"/>
      <c r="K14" s="400"/>
      <c r="L14" s="400"/>
      <c r="M14" s="401"/>
    </row>
    <row r="16" spans="1:13" x14ac:dyDescent="0.3">
      <c r="C16" t="s">
        <v>378</v>
      </c>
    </row>
    <row r="17" spans="3:6" x14ac:dyDescent="0.3">
      <c r="C17" t="s">
        <v>40</v>
      </c>
      <c r="D17" s="41">
        <v>13000</v>
      </c>
    </row>
    <row r="18" spans="3:6" x14ac:dyDescent="0.3">
      <c r="C18" t="s">
        <v>120</v>
      </c>
      <c r="D18" s="41">
        <v>10000</v>
      </c>
    </row>
    <row r="19" spans="3:6" x14ac:dyDescent="0.3">
      <c r="C19" t="s">
        <v>377</v>
      </c>
      <c r="D19" s="41">
        <v>1250</v>
      </c>
    </row>
    <row r="20" spans="3:6" x14ac:dyDescent="0.3">
      <c r="C20" t="s">
        <v>376</v>
      </c>
      <c r="D20" s="41">
        <v>350.00000000000006</v>
      </c>
    </row>
    <row r="21" spans="3:6" x14ac:dyDescent="0.3">
      <c r="C21" t="s">
        <v>117</v>
      </c>
      <c r="D21" s="41">
        <v>1300</v>
      </c>
    </row>
    <row r="22" spans="3:6" x14ac:dyDescent="0.3">
      <c r="C22" t="s">
        <v>53</v>
      </c>
      <c r="D22" s="41">
        <v>130</v>
      </c>
    </row>
    <row r="24" spans="3:6" x14ac:dyDescent="0.3">
      <c r="C24" t="s">
        <v>375</v>
      </c>
    </row>
    <row r="25" spans="3:6" x14ac:dyDescent="0.3">
      <c r="C25" t="s">
        <v>374</v>
      </c>
      <c r="D25" t="s">
        <v>340</v>
      </c>
      <c r="E25" t="s">
        <v>372</v>
      </c>
      <c r="F25" t="s">
        <v>371</v>
      </c>
    </row>
    <row r="26" spans="3:6" x14ac:dyDescent="0.3">
      <c r="C26" t="s">
        <v>112</v>
      </c>
      <c r="D26">
        <v>1.1499999999999999</v>
      </c>
      <c r="E26" s="41">
        <v>1000</v>
      </c>
      <c r="F26" s="41">
        <v>850</v>
      </c>
    </row>
    <row r="27" spans="3:6" x14ac:dyDescent="0.3">
      <c r="C27" t="s">
        <v>110</v>
      </c>
      <c r="D27">
        <v>1.1000000000000001</v>
      </c>
      <c r="E27" s="41">
        <v>2500</v>
      </c>
      <c r="F27" s="41">
        <v>1900</v>
      </c>
    </row>
    <row r="28" spans="3:6" x14ac:dyDescent="0.3">
      <c r="C28" t="s">
        <v>108</v>
      </c>
      <c r="D28">
        <v>1.05</v>
      </c>
      <c r="E28" s="41">
        <v>2500</v>
      </c>
      <c r="F28" s="41">
        <v>1750</v>
      </c>
    </row>
    <row r="29" spans="3:6" x14ac:dyDescent="0.3">
      <c r="C29" t="s">
        <v>106</v>
      </c>
      <c r="D29">
        <v>0.9</v>
      </c>
      <c r="E29" s="41">
        <v>3000</v>
      </c>
      <c r="F29" s="41">
        <v>2250</v>
      </c>
    </row>
    <row r="30" spans="3:6" x14ac:dyDescent="0.3">
      <c r="C30" t="s">
        <v>104</v>
      </c>
      <c r="D30">
        <v>0.85</v>
      </c>
      <c r="E30" s="41">
        <v>4000</v>
      </c>
      <c r="F30" s="41">
        <v>3250</v>
      </c>
    </row>
    <row r="32" spans="3:6" x14ac:dyDescent="0.3">
      <c r="C32" t="s">
        <v>373</v>
      </c>
    </row>
    <row r="33" spans="3:7" x14ac:dyDescent="0.3">
      <c r="C33" t="s">
        <v>93</v>
      </c>
      <c r="D33" t="s">
        <v>92</v>
      </c>
      <c r="E33" t="s">
        <v>340</v>
      </c>
      <c r="F33" t="s">
        <v>372</v>
      </c>
      <c r="G33" t="s">
        <v>371</v>
      </c>
    </row>
    <row r="34" spans="3:7" x14ac:dyDescent="0.3">
      <c r="C34" t="s">
        <v>89</v>
      </c>
      <c r="D34" t="s">
        <v>89</v>
      </c>
      <c r="E34">
        <v>1.25</v>
      </c>
      <c r="F34" s="41">
        <v>1000</v>
      </c>
      <c r="G34" s="41">
        <v>950</v>
      </c>
    </row>
    <row r="35" spans="3:7" x14ac:dyDescent="0.3">
      <c r="C35" t="s">
        <v>88</v>
      </c>
      <c r="D35" t="s">
        <v>89</v>
      </c>
      <c r="E35">
        <v>1.1000000000000001</v>
      </c>
      <c r="F35" s="41">
        <v>2000</v>
      </c>
      <c r="G35" s="41">
        <v>1400</v>
      </c>
    </row>
    <row r="36" spans="3:7" x14ac:dyDescent="0.3">
      <c r="C36" t="s">
        <v>89</v>
      </c>
      <c r="D36" t="s">
        <v>88</v>
      </c>
      <c r="E36">
        <v>1.05</v>
      </c>
      <c r="F36" s="41">
        <v>3000</v>
      </c>
      <c r="G36" s="41">
        <v>2050</v>
      </c>
    </row>
    <row r="37" spans="3:7" x14ac:dyDescent="0.3">
      <c r="C37" t="s">
        <v>88</v>
      </c>
      <c r="D37" t="s">
        <v>88</v>
      </c>
      <c r="E37">
        <v>0.8</v>
      </c>
      <c r="F37" s="41">
        <v>7000</v>
      </c>
      <c r="G37" s="41">
        <v>5600</v>
      </c>
    </row>
  </sheetData>
  <mergeCells count="3">
    <mergeCell ref="C10:F10"/>
    <mergeCell ref="C14:G14"/>
    <mergeCell ref="I14:M14"/>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9AE04-0DDB-4B94-BA0B-16E799F49114}">
  <sheetPr>
    <tabColor theme="9" tint="0.59999389629810485"/>
  </sheetPr>
  <dimension ref="A1:R37"/>
  <sheetViews>
    <sheetView workbookViewId="0">
      <selection activeCell="O51" sqref="O51"/>
    </sheetView>
  </sheetViews>
  <sheetFormatPr defaultRowHeight="14.4" x14ac:dyDescent="0.3"/>
  <sheetData>
    <row r="1" spans="1:13" ht="15" thickBot="1" x14ac:dyDescent="0.35">
      <c r="A1" t="s">
        <v>380</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s="34">
        <v>0.75</v>
      </c>
      <c r="D12" t="s">
        <v>379</v>
      </c>
    </row>
    <row r="13" spans="1:13" ht="15" thickBot="1" x14ac:dyDescent="0.35"/>
    <row r="14" spans="1:13" ht="15" thickBot="1" x14ac:dyDescent="0.35">
      <c r="C14" s="399" t="s">
        <v>10</v>
      </c>
      <c r="D14" s="400"/>
      <c r="E14" s="400"/>
      <c r="F14" s="400"/>
      <c r="G14" s="401"/>
      <c r="I14" s="399" t="s">
        <v>0</v>
      </c>
      <c r="J14" s="400"/>
      <c r="K14" s="400"/>
      <c r="L14" s="400"/>
      <c r="M14" s="401"/>
    </row>
    <row r="16" spans="1:13" x14ac:dyDescent="0.3">
      <c r="C16" t="s">
        <v>378</v>
      </c>
    </row>
    <row r="17" spans="3:18" x14ac:dyDescent="0.3">
      <c r="C17" t="s">
        <v>40</v>
      </c>
      <c r="D17" s="41">
        <v>13000</v>
      </c>
      <c r="I17" s="73">
        <f>D18/D17</f>
        <v>0.76923076923076927</v>
      </c>
      <c r="J17" t="s">
        <v>697</v>
      </c>
    </row>
    <row r="18" spans="3:18" x14ac:dyDescent="0.3">
      <c r="C18" t="s">
        <v>120</v>
      </c>
      <c r="D18" s="41">
        <v>10000</v>
      </c>
    </row>
    <row r="19" spans="3:18" x14ac:dyDescent="0.3">
      <c r="C19" t="s">
        <v>377</v>
      </c>
      <c r="D19" s="41">
        <v>1250</v>
      </c>
    </row>
    <row r="20" spans="3:18" x14ac:dyDescent="0.3">
      <c r="C20" t="s">
        <v>376</v>
      </c>
      <c r="D20" s="41">
        <v>350.00000000000006</v>
      </c>
    </row>
    <row r="21" spans="3:18" x14ac:dyDescent="0.3">
      <c r="C21" t="s">
        <v>117</v>
      </c>
      <c r="D21" s="41">
        <v>1300</v>
      </c>
    </row>
    <row r="22" spans="3:18" x14ac:dyDescent="0.3">
      <c r="C22" t="s">
        <v>53</v>
      </c>
      <c r="D22" s="41">
        <v>130</v>
      </c>
    </row>
    <row r="23" spans="3:18" x14ac:dyDescent="0.3">
      <c r="I23" s="79"/>
      <c r="J23" s="79"/>
      <c r="K23" s="79"/>
      <c r="L23" s="89" t="s">
        <v>680</v>
      </c>
      <c r="M23" s="103">
        <f>1-C12</f>
        <v>0.25</v>
      </c>
      <c r="N23" s="8" t="s">
        <v>696</v>
      </c>
      <c r="O23" s="8"/>
      <c r="P23" s="8"/>
      <c r="Q23" s="8"/>
    </row>
    <row r="24" spans="3:18" x14ac:dyDescent="0.3">
      <c r="C24" t="s">
        <v>375</v>
      </c>
      <c r="I24" s="79"/>
      <c r="J24" s="79"/>
      <c r="K24" s="79"/>
      <c r="L24" s="79"/>
      <c r="M24" s="79"/>
      <c r="N24" s="79"/>
    </row>
    <row r="25" spans="3:18" x14ac:dyDescent="0.3">
      <c r="C25" t="s">
        <v>374</v>
      </c>
      <c r="D25" t="s">
        <v>340</v>
      </c>
      <c r="E25" t="s">
        <v>372</v>
      </c>
      <c r="F25" t="s">
        <v>371</v>
      </c>
      <c r="I25" s="85" t="s">
        <v>677</v>
      </c>
      <c r="J25" s="85" t="s">
        <v>546</v>
      </c>
      <c r="K25" s="85" t="s">
        <v>674</v>
      </c>
      <c r="L25" s="85" t="s">
        <v>686</v>
      </c>
      <c r="M25" s="85" t="s">
        <v>685</v>
      </c>
      <c r="N25" s="85" t="s">
        <v>684</v>
      </c>
    </row>
    <row r="26" spans="3:18" x14ac:dyDescent="0.3">
      <c r="C26" t="s">
        <v>112</v>
      </c>
      <c r="D26">
        <v>1.1499999999999999</v>
      </c>
      <c r="E26" s="41">
        <v>1000</v>
      </c>
      <c r="F26" s="41">
        <v>850</v>
      </c>
      <c r="I26" s="211">
        <f>D26</f>
        <v>1.1499999999999999</v>
      </c>
      <c r="J26" s="210">
        <f>F26/E26</f>
        <v>0.85</v>
      </c>
      <c r="K26" s="87">
        <f>J26/$I$17</f>
        <v>1.105</v>
      </c>
      <c r="L26" s="87">
        <f>I26</f>
        <v>1.1499999999999999</v>
      </c>
      <c r="M26" s="87">
        <f>K26*I26</f>
        <v>1.2707499999999998</v>
      </c>
      <c r="N26" s="224">
        <f>M23*M26+(1-M23)*L26</f>
        <v>1.1801874999999999</v>
      </c>
      <c r="R26">
        <f>N26/I26-1</f>
        <v>2.6250000000000107E-2</v>
      </c>
    </row>
    <row r="27" spans="3:18" x14ac:dyDescent="0.3">
      <c r="C27" t="s">
        <v>110</v>
      </c>
      <c r="D27">
        <v>1.1000000000000001</v>
      </c>
      <c r="E27" s="41">
        <v>2500</v>
      </c>
      <c r="F27" s="41">
        <v>1900</v>
      </c>
      <c r="I27" s="211">
        <f>D27</f>
        <v>1.1000000000000001</v>
      </c>
      <c r="J27" s="210">
        <f>F27/E27</f>
        <v>0.76</v>
      </c>
      <c r="K27" s="87">
        <f>J27/$I$17</f>
        <v>0.98799999999999999</v>
      </c>
      <c r="L27" s="87">
        <f>I27</f>
        <v>1.1000000000000001</v>
      </c>
      <c r="M27" s="87">
        <f>K27*I27</f>
        <v>1.0868</v>
      </c>
      <c r="N27" s="224">
        <f>M23*M27+(1-M23)*L27</f>
        <v>1.0967</v>
      </c>
      <c r="R27">
        <f>N27/I27-1</f>
        <v>-3.0000000000001137E-3</v>
      </c>
    </row>
    <row r="28" spans="3:18" x14ac:dyDescent="0.3">
      <c r="C28" t="s">
        <v>108</v>
      </c>
      <c r="D28">
        <v>1.05</v>
      </c>
      <c r="E28" s="41">
        <v>2500</v>
      </c>
      <c r="F28" s="41">
        <v>1750</v>
      </c>
      <c r="I28" s="211">
        <f>D28</f>
        <v>1.05</v>
      </c>
      <c r="J28" s="210">
        <f>F28/E28</f>
        <v>0.7</v>
      </c>
      <c r="K28" s="87">
        <f>J28/$I$17</f>
        <v>0.90999999999999992</v>
      </c>
      <c r="L28" s="87">
        <f>I28</f>
        <v>1.05</v>
      </c>
      <c r="M28" s="87">
        <f>K28*I28</f>
        <v>0.9554999999999999</v>
      </c>
      <c r="N28" s="224">
        <f>M23*M28+(1-M23)*L28</f>
        <v>1.026375</v>
      </c>
      <c r="R28">
        <f>N28/I28-1</f>
        <v>-2.2499999999999964E-2</v>
      </c>
    </row>
    <row r="29" spans="3:18" x14ac:dyDescent="0.3">
      <c r="C29" t="s">
        <v>106</v>
      </c>
      <c r="D29">
        <v>0.9</v>
      </c>
      <c r="E29" s="41">
        <v>3000</v>
      </c>
      <c r="F29" s="41">
        <v>2250</v>
      </c>
      <c r="I29" s="211">
        <f>D29</f>
        <v>0.9</v>
      </c>
      <c r="J29" s="210">
        <f>F29/E29</f>
        <v>0.75</v>
      </c>
      <c r="K29" s="87">
        <f>J29/$I$17</f>
        <v>0.97499999999999998</v>
      </c>
      <c r="L29" s="87">
        <f>I29</f>
        <v>0.9</v>
      </c>
      <c r="M29" s="87">
        <f>K29*I29</f>
        <v>0.87749999999999995</v>
      </c>
      <c r="N29" s="224">
        <f>M23*M29+(1-M23)*L29</f>
        <v>0.89437500000000003</v>
      </c>
      <c r="R29">
        <f>N29/I29-1</f>
        <v>-6.2499999999999778E-3</v>
      </c>
    </row>
    <row r="30" spans="3:18" x14ac:dyDescent="0.3">
      <c r="C30" t="s">
        <v>104</v>
      </c>
      <c r="D30">
        <v>0.85</v>
      </c>
      <c r="E30" s="41">
        <v>4000</v>
      </c>
      <c r="F30" s="41">
        <v>3250</v>
      </c>
      <c r="I30" s="208">
        <f>D30</f>
        <v>0.85</v>
      </c>
      <c r="J30" s="207">
        <f>F30/E30</f>
        <v>0.8125</v>
      </c>
      <c r="K30" s="206">
        <f>J30/$I$17</f>
        <v>1.0562499999999999</v>
      </c>
      <c r="L30" s="206">
        <f>I30</f>
        <v>0.85</v>
      </c>
      <c r="M30" s="206">
        <f>K30*I30</f>
        <v>0.8978124999999999</v>
      </c>
      <c r="N30" s="224">
        <f>M23*M30+(1-M23)*L30</f>
        <v>0.86195312499999988</v>
      </c>
      <c r="R30">
        <f>N30/I30-1</f>
        <v>1.4062499999999867E-2</v>
      </c>
    </row>
    <row r="32" spans="3:18" x14ac:dyDescent="0.3">
      <c r="C32" t="s">
        <v>373</v>
      </c>
    </row>
    <row r="33" spans="3:18" x14ac:dyDescent="0.3">
      <c r="C33" t="s">
        <v>93</v>
      </c>
      <c r="D33" t="s">
        <v>92</v>
      </c>
      <c r="E33" t="s">
        <v>340</v>
      </c>
      <c r="F33" t="s">
        <v>372</v>
      </c>
      <c r="G33" t="s">
        <v>371</v>
      </c>
      <c r="I33" s="85" t="s">
        <v>677</v>
      </c>
      <c r="J33" s="85" t="s">
        <v>546</v>
      </c>
      <c r="K33" s="85" t="s">
        <v>674</v>
      </c>
      <c r="L33" s="85" t="s">
        <v>686</v>
      </c>
      <c r="M33" s="85" t="s">
        <v>685</v>
      </c>
      <c r="N33" s="85" t="s">
        <v>684</v>
      </c>
    </row>
    <row r="34" spans="3:18" x14ac:dyDescent="0.3">
      <c r="C34" t="s">
        <v>89</v>
      </c>
      <c r="D34" t="s">
        <v>89</v>
      </c>
      <c r="E34">
        <v>1.25</v>
      </c>
      <c r="F34" s="41">
        <v>1000</v>
      </c>
      <c r="G34" s="41">
        <v>950</v>
      </c>
      <c r="I34" s="211">
        <f>E34</f>
        <v>1.25</v>
      </c>
      <c r="J34" s="210">
        <f>G34/F34</f>
        <v>0.95</v>
      </c>
      <c r="K34" s="87">
        <f>J34/$I$17</f>
        <v>1.2349999999999999</v>
      </c>
      <c r="L34" s="87">
        <f>I34</f>
        <v>1.25</v>
      </c>
      <c r="M34" s="87">
        <f>K34*I34</f>
        <v>1.5437499999999997</v>
      </c>
      <c r="N34" s="224">
        <f>$M$23*M34+(1-$M$23)*L34</f>
        <v>1.3234374999999998</v>
      </c>
      <c r="R34">
        <f>N34/I34-1</f>
        <v>5.8749999999999858E-2</v>
      </c>
    </row>
    <row r="35" spans="3:18" x14ac:dyDescent="0.3">
      <c r="C35" t="s">
        <v>88</v>
      </c>
      <c r="D35" t="s">
        <v>89</v>
      </c>
      <c r="E35">
        <v>1.1000000000000001</v>
      </c>
      <c r="F35" s="41">
        <v>2000</v>
      </c>
      <c r="G35" s="41">
        <v>1400</v>
      </c>
      <c r="I35" s="211">
        <f>E35</f>
        <v>1.1000000000000001</v>
      </c>
      <c r="J35" s="210">
        <f>G35/F35</f>
        <v>0.7</v>
      </c>
      <c r="K35" s="87">
        <f>J35/$I$17</f>
        <v>0.90999999999999992</v>
      </c>
      <c r="L35" s="87">
        <f>I35</f>
        <v>1.1000000000000001</v>
      </c>
      <c r="M35" s="87">
        <f>K35*I35</f>
        <v>1.0009999999999999</v>
      </c>
      <c r="N35" s="224">
        <f>$M$23*M35+(1-$M$23)*L35</f>
        <v>1.07525</v>
      </c>
      <c r="R35">
        <f>N35/I35-1</f>
        <v>-2.2500000000000075E-2</v>
      </c>
    </row>
    <row r="36" spans="3:18" x14ac:dyDescent="0.3">
      <c r="C36" t="s">
        <v>89</v>
      </c>
      <c r="D36" t="s">
        <v>88</v>
      </c>
      <c r="E36">
        <v>1.05</v>
      </c>
      <c r="F36" s="41">
        <v>3000</v>
      </c>
      <c r="G36" s="41">
        <v>2050</v>
      </c>
      <c r="I36" s="211">
        <f>E36</f>
        <v>1.05</v>
      </c>
      <c r="J36" s="210">
        <f>G36/F36</f>
        <v>0.68333333333333335</v>
      </c>
      <c r="K36" s="87">
        <f>J36/$I$17</f>
        <v>0.88833333333333331</v>
      </c>
      <c r="L36" s="87">
        <f>I36</f>
        <v>1.05</v>
      </c>
      <c r="M36" s="87">
        <f>K36*I36</f>
        <v>0.93274999999999997</v>
      </c>
      <c r="N36" s="224">
        <f>$M$23*M36+(1-$M$23)*L36</f>
        <v>1.0206875000000002</v>
      </c>
      <c r="R36">
        <f>N36/I36-1</f>
        <v>-2.7916666666666479E-2</v>
      </c>
    </row>
    <row r="37" spans="3:18" x14ac:dyDescent="0.3">
      <c r="C37" t="s">
        <v>88</v>
      </c>
      <c r="D37" t="s">
        <v>88</v>
      </c>
      <c r="E37">
        <v>0.8</v>
      </c>
      <c r="F37" s="41">
        <v>7000</v>
      </c>
      <c r="G37" s="41">
        <v>5600</v>
      </c>
      <c r="I37" s="208">
        <f>E37</f>
        <v>0.8</v>
      </c>
      <c r="J37" s="207">
        <f>G37/F37</f>
        <v>0.8</v>
      </c>
      <c r="K37" s="206">
        <f>J37/$I$17</f>
        <v>1.04</v>
      </c>
      <c r="L37" s="206">
        <f>I37</f>
        <v>0.8</v>
      </c>
      <c r="M37" s="206">
        <f>K37*I37</f>
        <v>0.83200000000000007</v>
      </c>
      <c r="N37" s="224">
        <f>$M$23*M37+(1-$M$23)*L37</f>
        <v>0.80800000000000005</v>
      </c>
      <c r="R37">
        <f>N37/I37-1</f>
        <v>1.0000000000000009E-2</v>
      </c>
    </row>
  </sheetData>
  <mergeCells count="3">
    <mergeCell ref="C10:F10"/>
    <mergeCell ref="C14:G14"/>
    <mergeCell ref="I14:M14"/>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6442-F6BF-4179-BF72-3F128024E239}">
  <sheetPr>
    <tabColor theme="5" tint="0.39997558519241921"/>
  </sheetPr>
  <dimension ref="A1:M103"/>
  <sheetViews>
    <sheetView zoomScaleNormal="100" workbookViewId="0">
      <selection activeCell="U46" sqref="U46"/>
    </sheetView>
  </sheetViews>
  <sheetFormatPr defaultRowHeight="14.4" x14ac:dyDescent="0.3"/>
  <cols>
    <col min="3" max="3" width="19.88671875" customWidth="1"/>
    <col min="4" max="4" width="12.109375" customWidth="1"/>
    <col min="5" max="5" width="14.5546875" customWidth="1"/>
    <col min="9" max="11" width="13.109375" customWidth="1"/>
    <col min="12" max="12" width="14.109375" customWidth="1"/>
    <col min="13" max="14" width="13.109375" customWidth="1"/>
  </cols>
  <sheetData>
    <row r="1" spans="1:8" ht="15" thickBot="1" x14ac:dyDescent="0.35">
      <c r="A1" t="s">
        <v>407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t="s">
        <v>406</v>
      </c>
      <c r="D12">
        <v>96</v>
      </c>
    </row>
    <row r="13" spans="1:8" x14ac:dyDescent="0.3">
      <c r="C13" t="s">
        <v>405</v>
      </c>
      <c r="D13" s="1">
        <v>0</v>
      </c>
    </row>
    <row r="14" spans="1:8" x14ac:dyDescent="0.3">
      <c r="C14" t="s">
        <v>404</v>
      </c>
      <c r="D14">
        <v>0</v>
      </c>
    </row>
    <row r="16" spans="1:8" x14ac:dyDescent="0.3">
      <c r="C16" t="s">
        <v>403</v>
      </c>
    </row>
    <row r="17" spans="1:13" ht="28.8" x14ac:dyDescent="0.3">
      <c r="C17" s="29" t="s">
        <v>395</v>
      </c>
      <c r="D17" s="29" t="s">
        <v>402</v>
      </c>
    </row>
    <row r="18" spans="1:13" x14ac:dyDescent="0.3">
      <c r="C18" t="s">
        <v>392</v>
      </c>
      <c r="D18" s="93">
        <v>5</v>
      </c>
    </row>
    <row r="19" spans="1:13" x14ac:dyDescent="0.3">
      <c r="C19" t="s">
        <v>391</v>
      </c>
      <c r="D19" s="93">
        <v>7</v>
      </c>
    </row>
    <row r="20" spans="1:13" x14ac:dyDescent="0.3">
      <c r="C20" t="s">
        <v>390</v>
      </c>
      <c r="D20" s="93">
        <v>7</v>
      </c>
    </row>
    <row r="21" spans="1:13" ht="15" thickBot="1" x14ac:dyDescent="0.35"/>
    <row r="22" spans="1:13" ht="15" thickBot="1" x14ac:dyDescent="0.35">
      <c r="C22" s="399" t="s">
        <v>10</v>
      </c>
      <c r="D22" s="400"/>
      <c r="E22" s="400"/>
      <c r="F22" s="400"/>
      <c r="G22" s="401"/>
      <c r="I22" s="399" t="s">
        <v>0</v>
      </c>
      <c r="J22" s="400"/>
      <c r="K22" s="400"/>
      <c r="L22" s="400"/>
      <c r="M22" s="401"/>
    </row>
    <row r="23" spans="1:13" x14ac:dyDescent="0.3">
      <c r="A23" t="s">
        <v>52</v>
      </c>
    </row>
    <row r="24" spans="1:13" x14ac:dyDescent="0.3">
      <c r="C24" t="s">
        <v>401</v>
      </c>
    </row>
    <row r="25" spans="1:13" ht="43.2" x14ac:dyDescent="0.3">
      <c r="C25" s="29" t="s">
        <v>395</v>
      </c>
      <c r="D25" s="29" t="s">
        <v>400</v>
      </c>
      <c r="E25" s="29" t="s">
        <v>399</v>
      </c>
    </row>
    <row r="26" spans="1:13" x14ac:dyDescent="0.3">
      <c r="C26" t="s">
        <v>392</v>
      </c>
      <c r="D26" s="94">
        <v>150</v>
      </c>
      <c r="E26" s="94">
        <v>1766000</v>
      </c>
    </row>
    <row r="27" spans="1:13" x14ac:dyDescent="0.3">
      <c r="C27" t="s">
        <v>391</v>
      </c>
      <c r="D27" s="94">
        <v>200</v>
      </c>
      <c r="E27" s="94">
        <v>2617650</v>
      </c>
    </row>
    <row r="28" spans="1:13" x14ac:dyDescent="0.3">
      <c r="C28" t="s">
        <v>390</v>
      </c>
      <c r="D28" s="94">
        <v>300</v>
      </c>
      <c r="E28" s="94">
        <v>3008500</v>
      </c>
    </row>
    <row r="30" spans="1:13" x14ac:dyDescent="0.3">
      <c r="C30" t="s">
        <v>398</v>
      </c>
    </row>
    <row r="31" spans="1:13" ht="28.8" x14ac:dyDescent="0.3">
      <c r="C31" s="29" t="s">
        <v>395</v>
      </c>
      <c r="D31" s="29" t="s">
        <v>397</v>
      </c>
    </row>
    <row r="32" spans="1:13" x14ac:dyDescent="0.3">
      <c r="C32" t="s">
        <v>392</v>
      </c>
      <c r="D32" s="94">
        <v>135</v>
      </c>
    </row>
    <row r="33" spans="1:5" x14ac:dyDescent="0.3">
      <c r="C33" t="s">
        <v>391</v>
      </c>
      <c r="D33" s="94">
        <v>175</v>
      </c>
    </row>
    <row r="34" spans="1:5" x14ac:dyDescent="0.3">
      <c r="C34" t="s">
        <v>390</v>
      </c>
      <c r="D34" s="94">
        <v>292</v>
      </c>
    </row>
    <row r="36" spans="1:5" x14ac:dyDescent="0.3">
      <c r="C36" t="s">
        <v>396</v>
      </c>
    </row>
    <row r="37" spans="1:5" ht="28.8" x14ac:dyDescent="0.3">
      <c r="C37" s="29" t="s">
        <v>395</v>
      </c>
      <c r="D37" s="29" t="s">
        <v>279</v>
      </c>
      <c r="E37" s="29" t="s">
        <v>394</v>
      </c>
    </row>
    <row r="38" spans="1:5" x14ac:dyDescent="0.3">
      <c r="C38" t="s">
        <v>392</v>
      </c>
      <c r="D38" s="93" t="s">
        <v>393</v>
      </c>
      <c r="E38" s="94">
        <v>1265623</v>
      </c>
    </row>
    <row r="39" spans="1:5" x14ac:dyDescent="0.3">
      <c r="C39" t="s">
        <v>391</v>
      </c>
      <c r="D39" s="93" t="s">
        <v>393</v>
      </c>
      <c r="E39" s="94">
        <v>2304693</v>
      </c>
    </row>
    <row r="40" spans="1:5" x14ac:dyDescent="0.3">
      <c r="C40" t="s">
        <v>390</v>
      </c>
      <c r="D40" s="93" t="s">
        <v>393</v>
      </c>
      <c r="E40" s="94">
        <v>2786086</v>
      </c>
    </row>
    <row r="41" spans="1:5" x14ac:dyDescent="0.3">
      <c r="C41" t="s">
        <v>392</v>
      </c>
      <c r="D41" s="93" t="s">
        <v>389</v>
      </c>
      <c r="E41" s="94">
        <v>1196090</v>
      </c>
    </row>
    <row r="42" spans="1:5" x14ac:dyDescent="0.3">
      <c r="C42" t="s">
        <v>391</v>
      </c>
      <c r="D42" s="93" t="s">
        <v>389</v>
      </c>
      <c r="E42" s="94">
        <v>2234274</v>
      </c>
    </row>
    <row r="43" spans="1:5" x14ac:dyDescent="0.3">
      <c r="C43" t="s">
        <v>390</v>
      </c>
      <c r="D43" s="93" t="s">
        <v>389</v>
      </c>
      <c r="E43" s="94">
        <v>3209801</v>
      </c>
    </row>
    <row r="45" spans="1:5" s="2" customFormat="1" x14ac:dyDescent="0.3">
      <c r="A45" s="2" t="s">
        <v>388</v>
      </c>
    </row>
    <row r="72" spans="1:1" s="2" customFormat="1" x14ac:dyDescent="0.3">
      <c r="A72" s="2" t="s">
        <v>387</v>
      </c>
    </row>
    <row r="80" spans="1:1" s="2" customFormat="1" x14ac:dyDescent="0.3">
      <c r="A80" s="2" t="s">
        <v>386</v>
      </c>
    </row>
    <row r="83" spans="3:5" x14ac:dyDescent="0.3">
      <c r="C83" t="s">
        <v>385</v>
      </c>
    </row>
    <row r="84" spans="3:5" ht="43.2" x14ac:dyDescent="0.3">
      <c r="C84" s="29" t="s">
        <v>384</v>
      </c>
      <c r="D84" s="29" t="s">
        <v>383</v>
      </c>
      <c r="E84" s="29" t="s">
        <v>382</v>
      </c>
    </row>
    <row r="85" spans="3:5" x14ac:dyDescent="0.3">
      <c r="C85" s="93">
        <v>1</v>
      </c>
      <c r="D85" s="93">
        <v>19</v>
      </c>
      <c r="E85" s="92">
        <v>0.82</v>
      </c>
    </row>
    <row r="86" spans="3:5" x14ac:dyDescent="0.3">
      <c r="C86" s="93">
        <v>2</v>
      </c>
      <c r="D86" s="93">
        <v>11</v>
      </c>
      <c r="E86" s="92">
        <v>0.70499999999999996</v>
      </c>
    </row>
    <row r="87" spans="3:5" x14ac:dyDescent="0.3">
      <c r="C87" s="93">
        <v>3</v>
      </c>
      <c r="D87" s="93">
        <v>8</v>
      </c>
      <c r="E87" s="92">
        <v>0.628</v>
      </c>
    </row>
    <row r="88" spans="3:5" x14ac:dyDescent="0.3">
      <c r="C88" s="93">
        <v>4</v>
      </c>
      <c r="D88" s="93">
        <v>5</v>
      </c>
      <c r="E88" s="92">
        <v>0.57699999999999996</v>
      </c>
    </row>
    <row r="89" spans="3:5" x14ac:dyDescent="0.3">
      <c r="C89" s="93">
        <v>5</v>
      </c>
      <c r="D89" s="93">
        <v>3</v>
      </c>
      <c r="E89" s="92">
        <v>0.54300000000000004</v>
      </c>
    </row>
    <row r="90" spans="3:5" x14ac:dyDescent="0.3">
      <c r="C90" s="93">
        <v>6</v>
      </c>
      <c r="D90" s="93">
        <v>2</v>
      </c>
      <c r="E90" s="92">
        <v>0.51600000000000001</v>
      </c>
    </row>
    <row r="91" spans="3:5" x14ac:dyDescent="0.3">
      <c r="C91" s="93">
        <v>7</v>
      </c>
      <c r="D91" s="93">
        <v>1</v>
      </c>
      <c r="E91" s="92">
        <v>0.495</v>
      </c>
    </row>
    <row r="94" spans="3:5" ht="46.35" customHeight="1" x14ac:dyDescent="0.3"/>
    <row r="103" spans="1:1" s="2" customFormat="1" x14ac:dyDescent="0.3">
      <c r="A103" s="2" t="s">
        <v>381</v>
      </c>
    </row>
  </sheetData>
  <mergeCells count="3">
    <mergeCell ref="C10:F10"/>
    <mergeCell ref="C22:G22"/>
    <mergeCell ref="I22:M2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1667-D7B4-44CA-9FBB-1A9ED5A71CDF}">
  <sheetPr>
    <tabColor theme="9" tint="0.59999389629810485"/>
  </sheetPr>
  <dimension ref="A1:N106"/>
  <sheetViews>
    <sheetView zoomScaleNormal="100" workbookViewId="0">
      <selection activeCell="O51" sqref="O51"/>
    </sheetView>
  </sheetViews>
  <sheetFormatPr defaultRowHeight="14.4" x14ac:dyDescent="0.3"/>
  <cols>
    <col min="3" max="3" width="19.88671875" customWidth="1"/>
    <col min="4" max="4" width="12.109375" customWidth="1"/>
    <col min="5" max="5" width="14.5546875" customWidth="1"/>
    <col min="9" max="11" width="13.109375" customWidth="1"/>
    <col min="12" max="12" width="14.109375" customWidth="1"/>
    <col min="13" max="14" width="13.109375" customWidth="1"/>
  </cols>
  <sheetData>
    <row r="1" spans="1:8" ht="15" thickBot="1" x14ac:dyDescent="0.35">
      <c r="A1" t="s">
        <v>407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t="s">
        <v>406</v>
      </c>
      <c r="D12">
        <v>96</v>
      </c>
    </row>
    <row r="13" spans="1:8" x14ac:dyDescent="0.3">
      <c r="C13" t="s">
        <v>405</v>
      </c>
      <c r="D13" s="1">
        <v>0</v>
      </c>
    </row>
    <row r="14" spans="1:8" x14ac:dyDescent="0.3">
      <c r="C14" t="s">
        <v>404</v>
      </c>
      <c r="D14">
        <v>0</v>
      </c>
    </row>
    <row r="16" spans="1:8" x14ac:dyDescent="0.3">
      <c r="C16" t="s">
        <v>403</v>
      </c>
    </row>
    <row r="17" spans="1:14" ht="28.8" x14ac:dyDescent="0.3">
      <c r="C17" s="29" t="s">
        <v>395</v>
      </c>
      <c r="D17" s="29" t="s">
        <v>402</v>
      </c>
    </row>
    <row r="18" spans="1:14" x14ac:dyDescent="0.3">
      <c r="C18" t="s">
        <v>392</v>
      </c>
      <c r="D18" s="93">
        <v>5</v>
      </c>
    </row>
    <row r="19" spans="1:14" x14ac:dyDescent="0.3">
      <c r="C19" t="s">
        <v>391</v>
      </c>
      <c r="D19" s="93">
        <v>7</v>
      </c>
    </row>
    <row r="20" spans="1:14" x14ac:dyDescent="0.3">
      <c r="C20" t="s">
        <v>390</v>
      </c>
      <c r="D20" s="93">
        <v>7</v>
      </c>
    </row>
    <row r="21" spans="1:14" ht="15" thickBot="1" x14ac:dyDescent="0.35"/>
    <row r="22" spans="1:14" ht="15" thickBot="1" x14ac:dyDescent="0.35">
      <c r="C22" s="399" t="s">
        <v>10</v>
      </c>
      <c r="D22" s="400"/>
      <c r="E22" s="400"/>
      <c r="F22" s="400"/>
      <c r="G22" s="401"/>
      <c r="I22" s="399" t="s">
        <v>0</v>
      </c>
      <c r="J22" s="400"/>
      <c r="K22" s="400"/>
      <c r="L22" s="400"/>
      <c r="M22" s="401"/>
    </row>
    <row r="23" spans="1:14" x14ac:dyDescent="0.3">
      <c r="A23" t="s">
        <v>52</v>
      </c>
    </row>
    <row r="24" spans="1:14" x14ac:dyDescent="0.3">
      <c r="C24" t="s">
        <v>401</v>
      </c>
      <c r="I24" s="123" t="s">
        <v>728</v>
      </c>
    </row>
    <row r="25" spans="1:14" ht="43.2" x14ac:dyDescent="0.3">
      <c r="C25" s="29" t="s">
        <v>395</v>
      </c>
      <c r="D25" s="29" t="s">
        <v>400</v>
      </c>
      <c r="E25" s="29" t="s">
        <v>399</v>
      </c>
      <c r="I25" s="29" t="s">
        <v>395</v>
      </c>
      <c r="J25" s="29" t="s">
        <v>400</v>
      </c>
      <c r="K25" s="29" t="s">
        <v>398</v>
      </c>
      <c r="L25" s="29" t="s">
        <v>727</v>
      </c>
      <c r="M25" s="29" t="s">
        <v>726</v>
      </c>
      <c r="N25" s="29" t="s">
        <v>725</v>
      </c>
    </row>
    <row r="26" spans="1:14" x14ac:dyDescent="0.3">
      <c r="C26" t="s">
        <v>392</v>
      </c>
      <c r="D26" s="94">
        <v>150</v>
      </c>
      <c r="E26" s="94">
        <v>1766000</v>
      </c>
      <c r="I26" t="s">
        <v>392</v>
      </c>
      <c r="J26" s="94">
        <f>D26</f>
        <v>150</v>
      </c>
      <c r="K26" s="94">
        <f>D32</f>
        <v>135</v>
      </c>
      <c r="L26" s="229">
        <f>K26/J26</f>
        <v>0.9</v>
      </c>
      <c r="M26" s="229">
        <f>D18/7</f>
        <v>0.7142857142857143</v>
      </c>
      <c r="N26" s="232">
        <f>L26*M26</f>
        <v>0.6428571428571429</v>
      </c>
    </row>
    <row r="27" spans="1:14" x14ac:dyDescent="0.3">
      <c r="C27" t="s">
        <v>391</v>
      </c>
      <c r="D27" s="94">
        <v>200</v>
      </c>
      <c r="E27" s="94">
        <v>2617650</v>
      </c>
      <c r="I27" t="s">
        <v>391</v>
      </c>
      <c r="J27" s="94">
        <f>D27</f>
        <v>200</v>
      </c>
      <c r="K27" s="94">
        <f>D33</f>
        <v>175</v>
      </c>
      <c r="L27" s="229">
        <f>K27/J27</f>
        <v>0.875</v>
      </c>
      <c r="M27" s="229">
        <f>D19/7</f>
        <v>1</v>
      </c>
      <c r="N27" s="232">
        <f>L27*M27</f>
        <v>0.875</v>
      </c>
    </row>
    <row r="28" spans="1:14" x14ac:dyDescent="0.3">
      <c r="C28" t="s">
        <v>390</v>
      </c>
      <c r="D28" s="94">
        <v>300</v>
      </c>
      <c r="E28" s="94">
        <v>3008500</v>
      </c>
      <c r="I28" s="2" t="s">
        <v>390</v>
      </c>
      <c r="J28" s="231">
        <f>D28</f>
        <v>300</v>
      </c>
      <c r="K28" s="231">
        <f>D34</f>
        <v>292</v>
      </c>
      <c r="L28" s="227">
        <f>K28/J28</f>
        <v>0.97333333333333338</v>
      </c>
      <c r="M28" s="227">
        <f>D20/7</f>
        <v>1</v>
      </c>
      <c r="N28" s="232">
        <f>L28*M28</f>
        <v>0.97333333333333338</v>
      </c>
    </row>
    <row r="29" spans="1:14" x14ac:dyDescent="0.3">
      <c r="I29" t="s">
        <v>724</v>
      </c>
    </row>
    <row r="30" spans="1:14" x14ac:dyDescent="0.3">
      <c r="C30" t="s">
        <v>398</v>
      </c>
      <c r="I30" t="s">
        <v>723</v>
      </c>
    </row>
    <row r="31" spans="1:14" ht="28.8" x14ac:dyDescent="0.3">
      <c r="C31" s="29" t="s">
        <v>395</v>
      </c>
      <c r="D31" s="29" t="s">
        <v>397</v>
      </c>
    </row>
    <row r="32" spans="1:14" x14ac:dyDescent="0.3">
      <c r="C32" t="s">
        <v>392</v>
      </c>
      <c r="D32" s="94">
        <v>135</v>
      </c>
    </row>
    <row r="33" spans="1:12" x14ac:dyDescent="0.3">
      <c r="C33" t="s">
        <v>391</v>
      </c>
      <c r="D33" s="94">
        <v>175</v>
      </c>
    </row>
    <row r="34" spans="1:12" x14ac:dyDescent="0.3">
      <c r="C34" t="s">
        <v>390</v>
      </c>
      <c r="D34" s="94">
        <v>292</v>
      </c>
    </row>
    <row r="35" spans="1:12" x14ac:dyDescent="0.3">
      <c r="I35" s="123" t="s">
        <v>722</v>
      </c>
    </row>
    <row r="36" spans="1:12" x14ac:dyDescent="0.3">
      <c r="C36" t="s">
        <v>396</v>
      </c>
    </row>
    <row r="37" spans="1:12" ht="28.8" x14ac:dyDescent="0.3">
      <c r="C37" s="29" t="s">
        <v>395</v>
      </c>
      <c r="D37" s="29" t="s">
        <v>279</v>
      </c>
      <c r="E37" s="29" t="s">
        <v>394</v>
      </c>
      <c r="I37" s="29" t="s">
        <v>395</v>
      </c>
      <c r="J37" s="29" t="s">
        <v>717</v>
      </c>
      <c r="K37" s="29" t="s">
        <v>716</v>
      </c>
      <c r="L37" s="29" t="s">
        <v>714</v>
      </c>
    </row>
    <row r="38" spans="1:12" x14ac:dyDescent="0.3">
      <c r="C38" t="s">
        <v>392</v>
      </c>
      <c r="D38" s="93" t="s">
        <v>393</v>
      </c>
      <c r="E38" s="94">
        <v>1265623</v>
      </c>
      <c r="I38" t="s">
        <v>392</v>
      </c>
      <c r="J38" s="94">
        <f>E38+E41</f>
        <v>2461713</v>
      </c>
      <c r="K38" s="94">
        <f>E26*2</f>
        <v>3532000</v>
      </c>
      <c r="L38" s="232">
        <f>J38/K38</f>
        <v>0.69697423556058891</v>
      </c>
    </row>
    <row r="39" spans="1:12" x14ac:dyDescent="0.3">
      <c r="C39" t="s">
        <v>391</v>
      </c>
      <c r="D39" s="93" t="s">
        <v>393</v>
      </c>
      <c r="E39" s="94">
        <v>2304693</v>
      </c>
      <c r="I39" t="s">
        <v>391</v>
      </c>
      <c r="J39" s="94">
        <f>E39+E42</f>
        <v>4538967</v>
      </c>
      <c r="K39" s="94">
        <f>E27*2</f>
        <v>5235300</v>
      </c>
      <c r="L39" s="232">
        <f>J39/K39</f>
        <v>0.86699272248008707</v>
      </c>
    </row>
    <row r="40" spans="1:12" x14ac:dyDescent="0.3">
      <c r="C40" t="s">
        <v>390</v>
      </c>
      <c r="D40" s="93" t="s">
        <v>393</v>
      </c>
      <c r="E40" s="94">
        <v>2786086</v>
      </c>
      <c r="I40" s="2" t="s">
        <v>390</v>
      </c>
      <c r="J40" s="231">
        <f>E40+E43</f>
        <v>5995887</v>
      </c>
      <c r="K40" s="231">
        <f>E28*2</f>
        <v>6017000</v>
      </c>
      <c r="L40" s="232">
        <f>J40/K40</f>
        <v>0.99649110852584344</v>
      </c>
    </row>
    <row r="41" spans="1:12" x14ac:dyDescent="0.3">
      <c r="C41" t="s">
        <v>392</v>
      </c>
      <c r="D41" s="93" t="s">
        <v>389</v>
      </c>
      <c r="E41" s="94">
        <v>1196090</v>
      </c>
      <c r="I41" t="s">
        <v>522</v>
      </c>
      <c r="J41" s="94">
        <f>SUM(J38:J40)</f>
        <v>12996567</v>
      </c>
      <c r="K41" s="94">
        <f>SUM(K38:K40)</f>
        <v>14784300</v>
      </c>
      <c r="L41" s="229">
        <f>J41/K41</f>
        <v>0.87907895537834058</v>
      </c>
    </row>
    <row r="42" spans="1:12" x14ac:dyDescent="0.3">
      <c r="C42" t="s">
        <v>391</v>
      </c>
      <c r="D42" s="93" t="s">
        <v>389</v>
      </c>
      <c r="E42" s="94">
        <v>2234274</v>
      </c>
    </row>
    <row r="43" spans="1:12" x14ac:dyDescent="0.3">
      <c r="C43" t="s">
        <v>390</v>
      </c>
      <c r="D43" s="93" t="s">
        <v>389</v>
      </c>
      <c r="E43" s="94">
        <v>3209801</v>
      </c>
      <c r="I43" t="s">
        <v>718</v>
      </c>
    </row>
    <row r="45" spans="1:12" s="2" customFormat="1" x14ac:dyDescent="0.3">
      <c r="A45" s="2" t="s">
        <v>388</v>
      </c>
    </row>
    <row r="47" spans="1:12" x14ac:dyDescent="0.3">
      <c r="I47" s="123" t="s">
        <v>721</v>
      </c>
    </row>
    <row r="48" spans="1:12" x14ac:dyDescent="0.3">
      <c r="I48" s="76" t="s">
        <v>720</v>
      </c>
    </row>
    <row r="50" spans="9:12" ht="28.8" x14ac:dyDescent="0.3">
      <c r="I50" s="29" t="s">
        <v>395</v>
      </c>
      <c r="J50" s="29" t="s">
        <v>719</v>
      </c>
      <c r="K50" s="29" t="s">
        <v>716</v>
      </c>
      <c r="L50" s="29" t="s">
        <v>713</v>
      </c>
    </row>
    <row r="51" spans="9:12" x14ac:dyDescent="0.3">
      <c r="I51" t="s">
        <v>392</v>
      </c>
      <c r="J51" s="94">
        <f>K51*L51</f>
        <v>2270571.4285714286</v>
      </c>
      <c r="K51" s="94">
        <f>E26*2</f>
        <v>3532000</v>
      </c>
      <c r="L51" s="228">
        <f>N26</f>
        <v>0.6428571428571429</v>
      </c>
    </row>
    <row r="52" spans="9:12" x14ac:dyDescent="0.3">
      <c r="I52" t="s">
        <v>391</v>
      </c>
      <c r="J52" s="94">
        <f>K52*L52</f>
        <v>4580887.5</v>
      </c>
      <c r="K52" s="94">
        <f>E27*2</f>
        <v>5235300</v>
      </c>
      <c r="L52" s="228">
        <f>N27</f>
        <v>0.875</v>
      </c>
    </row>
    <row r="53" spans="9:12" x14ac:dyDescent="0.3">
      <c r="I53" s="2" t="s">
        <v>390</v>
      </c>
      <c r="J53" s="231">
        <f>K53*L53</f>
        <v>5856546.666666667</v>
      </c>
      <c r="K53" s="231">
        <f>E28*2</f>
        <v>6017000</v>
      </c>
      <c r="L53" s="226">
        <f>N28</f>
        <v>0.97333333333333338</v>
      </c>
    </row>
    <row r="54" spans="9:12" x14ac:dyDescent="0.3">
      <c r="I54" t="s">
        <v>522</v>
      </c>
      <c r="J54" s="94">
        <f>SUM(J51:J53)</f>
        <v>12708005.595238097</v>
      </c>
      <c r="K54" s="94">
        <f>SUM(K51:K53)</f>
        <v>14784300</v>
      </c>
      <c r="L54" s="228">
        <f>J54/K54</f>
        <v>0.85956085815615868</v>
      </c>
    </row>
    <row r="56" spans="9:12" x14ac:dyDescent="0.3">
      <c r="I56" s="123" t="s">
        <v>718</v>
      </c>
    </row>
    <row r="58" spans="9:12" ht="28.8" x14ac:dyDescent="0.3">
      <c r="I58" s="29" t="s">
        <v>395</v>
      </c>
      <c r="J58" s="29" t="s">
        <v>717</v>
      </c>
      <c r="K58" s="29" t="s">
        <v>716</v>
      </c>
      <c r="L58" s="29" t="s">
        <v>714</v>
      </c>
    </row>
    <row r="59" spans="9:12" x14ac:dyDescent="0.3">
      <c r="I59" t="s">
        <v>392</v>
      </c>
      <c r="J59" s="94">
        <f>E38+E41</f>
        <v>2461713</v>
      </c>
      <c r="K59" s="94">
        <f>E26*2</f>
        <v>3532000</v>
      </c>
      <c r="L59" s="229">
        <f>J59/K59</f>
        <v>0.69697423556058891</v>
      </c>
    </row>
    <row r="60" spans="9:12" x14ac:dyDescent="0.3">
      <c r="I60" t="s">
        <v>391</v>
      </c>
      <c r="J60" s="94">
        <f>E39+E42</f>
        <v>4538967</v>
      </c>
      <c r="K60" s="94">
        <f>E27*2</f>
        <v>5235300</v>
      </c>
      <c r="L60" s="229">
        <f>J60/K60</f>
        <v>0.86699272248008707</v>
      </c>
    </row>
    <row r="61" spans="9:12" x14ac:dyDescent="0.3">
      <c r="I61" s="2" t="s">
        <v>390</v>
      </c>
      <c r="J61" s="231">
        <f>E40+E43</f>
        <v>5995887</v>
      </c>
      <c r="K61" s="231">
        <f>E28*2</f>
        <v>6017000</v>
      </c>
      <c r="L61" s="227">
        <f>J61/K61</f>
        <v>0.99649110852584344</v>
      </c>
    </row>
    <row r="62" spans="9:12" x14ac:dyDescent="0.3">
      <c r="I62" t="s">
        <v>522</v>
      </c>
      <c r="J62" s="94">
        <f>SUM(J59:J61)</f>
        <v>12996567</v>
      </c>
      <c r="K62" s="94">
        <f>SUM(K59:K61)</f>
        <v>14784300</v>
      </c>
      <c r="L62" s="229">
        <f>J62/K62</f>
        <v>0.87907895537834058</v>
      </c>
    </row>
    <row r="64" spans="9:12" x14ac:dyDescent="0.3">
      <c r="I64" s="123" t="s">
        <v>715</v>
      </c>
    </row>
    <row r="66" spans="1:12" ht="43.2" x14ac:dyDescent="0.3">
      <c r="I66" s="29" t="s">
        <v>395</v>
      </c>
      <c r="J66" s="29" t="s">
        <v>714</v>
      </c>
      <c r="K66" s="29" t="s">
        <v>713</v>
      </c>
      <c r="L66" s="29" t="s">
        <v>700</v>
      </c>
    </row>
    <row r="67" spans="1:12" x14ac:dyDescent="0.3">
      <c r="I67" t="s">
        <v>392</v>
      </c>
      <c r="J67" s="228">
        <f>L59</f>
        <v>0.69697423556058891</v>
      </c>
      <c r="K67" s="228">
        <f>L51</f>
        <v>0.6428571428571429</v>
      </c>
      <c r="L67" s="225">
        <f>J67/K67</f>
        <v>1.0841821442053605</v>
      </c>
    </row>
    <row r="68" spans="1:12" x14ac:dyDescent="0.3">
      <c r="I68" t="s">
        <v>391</v>
      </c>
      <c r="J68" s="228">
        <f>L60</f>
        <v>0.86699272248008707</v>
      </c>
      <c r="K68" s="228">
        <f>L52</f>
        <v>0.875</v>
      </c>
      <c r="L68" s="225">
        <f>J68/K68</f>
        <v>0.9908488256915281</v>
      </c>
    </row>
    <row r="69" spans="1:12" x14ac:dyDescent="0.3">
      <c r="I69" s="2" t="s">
        <v>390</v>
      </c>
      <c r="J69" s="226">
        <f>L61</f>
        <v>0.99649110852584344</v>
      </c>
      <c r="K69" s="226">
        <f>L53</f>
        <v>0.97333333333333338</v>
      </c>
      <c r="L69" s="225">
        <f>J69/K69</f>
        <v>1.0237922347868254</v>
      </c>
    </row>
    <row r="70" spans="1:12" x14ac:dyDescent="0.3">
      <c r="I70" t="s">
        <v>522</v>
      </c>
      <c r="J70" s="228">
        <f>L62</f>
        <v>0.87907895537834058</v>
      </c>
      <c r="K70" s="228">
        <f>L54</f>
        <v>0.85956085815615868</v>
      </c>
      <c r="L70" s="225">
        <f>J70/K70</f>
        <v>1.0227070567918253</v>
      </c>
    </row>
    <row r="72" spans="1:12" s="2" customFormat="1" x14ac:dyDescent="0.3">
      <c r="A72" s="2" t="s">
        <v>387</v>
      </c>
    </row>
    <row r="74" spans="1:12" x14ac:dyDescent="0.3">
      <c r="I74" t="s">
        <v>712</v>
      </c>
    </row>
    <row r="75" spans="1:12" x14ac:dyDescent="0.3">
      <c r="I75" t="s">
        <v>711</v>
      </c>
    </row>
    <row r="76" spans="1:12" x14ac:dyDescent="0.3">
      <c r="I76" t="s">
        <v>710</v>
      </c>
    </row>
    <row r="78" spans="1:12" x14ac:dyDescent="0.3">
      <c r="I78" s="76" t="s">
        <v>709</v>
      </c>
    </row>
    <row r="80" spans="1:12" s="2" customFormat="1" x14ac:dyDescent="0.3">
      <c r="A80" s="2" t="s">
        <v>386</v>
      </c>
    </row>
    <row r="82" spans="3:14" x14ac:dyDescent="0.3">
      <c r="I82" s="18"/>
      <c r="J82" s="18"/>
    </row>
    <row r="83" spans="3:14" x14ac:dyDescent="0.3">
      <c r="C83" t="s">
        <v>385</v>
      </c>
      <c r="I83" s="76" t="s">
        <v>708</v>
      </c>
    </row>
    <row r="84" spans="3:14" ht="43.2" x14ac:dyDescent="0.3">
      <c r="C84" s="29" t="s">
        <v>384</v>
      </c>
      <c r="D84" s="29" t="s">
        <v>383</v>
      </c>
      <c r="E84" s="29" t="s">
        <v>382</v>
      </c>
      <c r="I84" s="29" t="s">
        <v>384</v>
      </c>
      <c r="J84" s="29" t="s">
        <v>707</v>
      </c>
      <c r="K84" s="29" t="s">
        <v>706</v>
      </c>
      <c r="L84" s="29" t="s">
        <v>705</v>
      </c>
    </row>
    <row r="85" spans="3:14" x14ac:dyDescent="0.3">
      <c r="C85" s="93">
        <v>1</v>
      </c>
      <c r="D85" s="93">
        <v>19</v>
      </c>
      <c r="E85" s="92">
        <v>0.82</v>
      </c>
      <c r="I85" s="93">
        <v>1</v>
      </c>
      <c r="J85" s="92">
        <f t="shared" ref="J85:J91" si="0">E85</f>
        <v>0.82</v>
      </c>
      <c r="K85" s="229">
        <f>J85/1</f>
        <v>0.82</v>
      </c>
      <c r="L85" s="229">
        <f t="shared" ref="L85:L91" si="1">1-K85</f>
        <v>0.18000000000000005</v>
      </c>
    </row>
    <row r="86" spans="3:14" x14ac:dyDescent="0.3">
      <c r="C86" s="93">
        <v>2</v>
      </c>
      <c r="D86" s="93">
        <v>11</v>
      </c>
      <c r="E86" s="92">
        <v>0.70499999999999996</v>
      </c>
      <c r="I86" s="93">
        <v>2</v>
      </c>
      <c r="J86" s="92">
        <f t="shared" si="0"/>
        <v>0.70499999999999996</v>
      </c>
      <c r="K86" s="229">
        <f t="shared" ref="K86:K91" si="2">J86/J85</f>
        <v>0.8597560975609756</v>
      </c>
      <c r="L86" s="229">
        <f t="shared" si="1"/>
        <v>0.1402439024390244</v>
      </c>
    </row>
    <row r="87" spans="3:14" x14ac:dyDescent="0.3">
      <c r="C87" s="93">
        <v>3</v>
      </c>
      <c r="D87" s="93">
        <v>8</v>
      </c>
      <c r="E87" s="92">
        <v>0.628</v>
      </c>
      <c r="I87" s="93">
        <v>3</v>
      </c>
      <c r="J87" s="92">
        <f t="shared" si="0"/>
        <v>0.628</v>
      </c>
      <c r="K87" s="229">
        <f t="shared" si="2"/>
        <v>0.8907801418439717</v>
      </c>
      <c r="L87" s="229">
        <f t="shared" si="1"/>
        <v>0.1092198581560283</v>
      </c>
    </row>
    <row r="88" spans="3:14" x14ac:dyDescent="0.3">
      <c r="C88" s="93">
        <v>4</v>
      </c>
      <c r="D88" s="93">
        <v>5</v>
      </c>
      <c r="E88" s="92">
        <v>0.57699999999999996</v>
      </c>
      <c r="I88" s="93">
        <v>4</v>
      </c>
      <c r="J88" s="92">
        <f t="shared" si="0"/>
        <v>0.57699999999999996</v>
      </c>
      <c r="K88" s="229">
        <f t="shared" si="2"/>
        <v>0.91878980891719741</v>
      </c>
      <c r="L88" s="229">
        <f t="shared" si="1"/>
        <v>8.1210191082802585E-2</v>
      </c>
    </row>
    <row r="89" spans="3:14" x14ac:dyDescent="0.3">
      <c r="C89" s="93">
        <v>5</v>
      </c>
      <c r="D89" s="93">
        <v>3</v>
      </c>
      <c r="E89" s="92">
        <v>0.54300000000000004</v>
      </c>
      <c r="I89" s="93">
        <v>5</v>
      </c>
      <c r="J89" s="92">
        <f t="shared" si="0"/>
        <v>0.54300000000000004</v>
      </c>
      <c r="K89" s="229">
        <f t="shared" si="2"/>
        <v>0.94107452339688058</v>
      </c>
      <c r="L89" s="229">
        <f t="shared" si="1"/>
        <v>5.892547660311942E-2</v>
      </c>
    </row>
    <row r="90" spans="3:14" x14ac:dyDescent="0.3">
      <c r="C90" s="93">
        <v>6</v>
      </c>
      <c r="D90" s="93">
        <v>2</v>
      </c>
      <c r="E90" s="92">
        <v>0.51600000000000001</v>
      </c>
      <c r="I90" s="93">
        <v>6</v>
      </c>
      <c r="J90" s="92">
        <f t="shared" si="0"/>
        <v>0.51600000000000001</v>
      </c>
      <c r="K90" s="229">
        <f t="shared" si="2"/>
        <v>0.95027624309392256</v>
      </c>
      <c r="L90" s="229">
        <f t="shared" si="1"/>
        <v>4.9723756906077443E-2</v>
      </c>
    </row>
    <row r="91" spans="3:14" x14ac:dyDescent="0.3">
      <c r="C91" s="93">
        <v>7</v>
      </c>
      <c r="D91" s="93">
        <v>1</v>
      </c>
      <c r="E91" s="92">
        <v>0.495</v>
      </c>
      <c r="I91" s="192">
        <v>7</v>
      </c>
      <c r="J91" s="230">
        <f t="shared" si="0"/>
        <v>0.495</v>
      </c>
      <c r="K91" s="227">
        <f t="shared" si="2"/>
        <v>0.95930232558139528</v>
      </c>
      <c r="L91" s="227">
        <f t="shared" si="1"/>
        <v>4.0697674418604723E-2</v>
      </c>
    </row>
    <row r="93" spans="3:14" x14ac:dyDescent="0.3">
      <c r="I93" s="76" t="s">
        <v>704</v>
      </c>
    </row>
    <row r="94" spans="3:14" ht="46.35" customHeight="1" x14ac:dyDescent="0.3">
      <c r="I94" s="29" t="s">
        <v>384</v>
      </c>
      <c r="J94" s="29" t="s">
        <v>703</v>
      </c>
      <c r="K94" s="29" t="s">
        <v>383</v>
      </c>
      <c r="L94" s="29" t="s">
        <v>702</v>
      </c>
      <c r="M94" s="29" t="s">
        <v>701</v>
      </c>
      <c r="N94" s="29" t="s">
        <v>700</v>
      </c>
    </row>
    <row r="95" spans="3:14" x14ac:dyDescent="0.3">
      <c r="I95" s="93">
        <v>1</v>
      </c>
      <c r="J95" s="93">
        <f>D12</f>
        <v>96</v>
      </c>
      <c r="K95" s="93">
        <f t="shared" ref="K95:K101" si="3">D85</f>
        <v>19</v>
      </c>
      <c r="L95" s="229">
        <f t="shared" ref="L95:L101" si="4">K95/J95</f>
        <v>0.19791666666666666</v>
      </c>
      <c r="M95" s="228">
        <f t="shared" ref="M95:M101" si="5">L85</f>
        <v>0.18000000000000005</v>
      </c>
      <c r="N95" s="225">
        <f t="shared" ref="N95:N101" si="6">L95/M95</f>
        <v>1.0995370370370368</v>
      </c>
    </row>
    <row r="96" spans="3:14" x14ac:dyDescent="0.3">
      <c r="I96" s="93">
        <v>2</v>
      </c>
      <c r="J96" s="93">
        <f t="shared" ref="J96:J101" si="7">J95-D85</f>
        <v>77</v>
      </c>
      <c r="K96" s="93">
        <f t="shared" si="3"/>
        <v>11</v>
      </c>
      <c r="L96" s="229">
        <f t="shared" si="4"/>
        <v>0.14285714285714285</v>
      </c>
      <c r="M96" s="228">
        <f t="shared" si="5"/>
        <v>0.1402439024390244</v>
      </c>
      <c r="N96" s="225">
        <f t="shared" si="6"/>
        <v>1.0186335403726707</v>
      </c>
    </row>
    <row r="97" spans="1:14" x14ac:dyDescent="0.3">
      <c r="I97" s="93">
        <v>3</v>
      </c>
      <c r="J97" s="93">
        <f t="shared" si="7"/>
        <v>66</v>
      </c>
      <c r="K97" s="93">
        <f t="shared" si="3"/>
        <v>8</v>
      </c>
      <c r="L97" s="229">
        <f t="shared" si="4"/>
        <v>0.12121212121212122</v>
      </c>
      <c r="M97" s="228">
        <f t="shared" si="5"/>
        <v>0.1092198581560283</v>
      </c>
      <c r="N97" s="225">
        <f t="shared" si="6"/>
        <v>1.1097992916174741</v>
      </c>
    </row>
    <row r="98" spans="1:14" x14ac:dyDescent="0.3">
      <c r="I98" s="93">
        <v>4</v>
      </c>
      <c r="J98" s="93">
        <f t="shared" si="7"/>
        <v>58</v>
      </c>
      <c r="K98" s="93">
        <f t="shared" si="3"/>
        <v>5</v>
      </c>
      <c r="L98" s="229">
        <f t="shared" si="4"/>
        <v>8.6206896551724144E-2</v>
      </c>
      <c r="M98" s="228">
        <f t="shared" si="5"/>
        <v>8.1210191082802585E-2</v>
      </c>
      <c r="N98" s="225">
        <f t="shared" si="6"/>
        <v>1.0615280594996614</v>
      </c>
    </row>
    <row r="99" spans="1:14" x14ac:dyDescent="0.3">
      <c r="I99" s="93">
        <v>5</v>
      </c>
      <c r="J99" s="93">
        <f t="shared" si="7"/>
        <v>53</v>
      </c>
      <c r="K99" s="93">
        <f t="shared" si="3"/>
        <v>3</v>
      </c>
      <c r="L99" s="229">
        <f t="shared" si="4"/>
        <v>5.6603773584905662E-2</v>
      </c>
      <c r="M99" s="228">
        <f t="shared" si="5"/>
        <v>5.892547660311942E-2</v>
      </c>
      <c r="N99" s="225">
        <f t="shared" si="6"/>
        <v>0.9605993340732546</v>
      </c>
    </row>
    <row r="100" spans="1:14" x14ac:dyDescent="0.3">
      <c r="I100" s="93">
        <v>6</v>
      </c>
      <c r="J100" s="93">
        <f t="shared" si="7"/>
        <v>50</v>
      </c>
      <c r="K100" s="93">
        <f t="shared" si="3"/>
        <v>2</v>
      </c>
      <c r="L100" s="229">
        <f t="shared" si="4"/>
        <v>0.04</v>
      </c>
      <c r="M100" s="228">
        <f t="shared" si="5"/>
        <v>4.9723756906077443E-2</v>
      </c>
      <c r="N100" s="225">
        <f t="shared" si="6"/>
        <v>0.80444444444444296</v>
      </c>
    </row>
    <row r="101" spans="1:14" x14ac:dyDescent="0.3">
      <c r="I101" s="192">
        <v>7</v>
      </c>
      <c r="J101" s="192">
        <f t="shared" si="7"/>
        <v>48</v>
      </c>
      <c r="K101" s="192">
        <f t="shared" si="3"/>
        <v>1</v>
      </c>
      <c r="L101" s="227">
        <f t="shared" si="4"/>
        <v>2.0833333333333332E-2</v>
      </c>
      <c r="M101" s="226">
        <f t="shared" si="5"/>
        <v>4.0697674418604723E-2</v>
      </c>
      <c r="N101" s="225">
        <f t="shared" si="6"/>
        <v>0.51190476190476097</v>
      </c>
    </row>
    <row r="103" spans="1:14" s="2" customFormat="1" x14ac:dyDescent="0.3">
      <c r="A103" s="2" t="s">
        <v>381</v>
      </c>
    </row>
    <row r="105" spans="1:14" x14ac:dyDescent="0.3">
      <c r="I105" t="s">
        <v>699</v>
      </c>
    </row>
    <row r="106" spans="1:14" x14ac:dyDescent="0.3">
      <c r="I106" t="s">
        <v>698</v>
      </c>
    </row>
  </sheetData>
  <mergeCells count="3">
    <mergeCell ref="C10:F10"/>
    <mergeCell ref="C22:G22"/>
    <mergeCell ref="I22:M2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CC586-FD5B-4BF4-AECC-FD3AF1D10753}">
  <sheetPr>
    <tabColor theme="5" tint="0.39997558519241921"/>
  </sheetPr>
  <dimension ref="A1:Q97"/>
  <sheetViews>
    <sheetView workbookViewId="0">
      <pane xSplit="2" ySplit="12" topLeftCell="C13" activePane="bottomRight" state="frozen"/>
      <selection activeCell="U46" sqref="U46"/>
      <selection pane="topRight" activeCell="U46" sqref="U46"/>
      <selection pane="bottomLeft" activeCell="U46" sqref="U46"/>
      <selection pane="bottomRight" activeCell="U46" sqref="U46"/>
    </sheetView>
  </sheetViews>
  <sheetFormatPr defaultRowHeight="14.4" x14ac:dyDescent="0.3"/>
  <cols>
    <col min="3" max="3" width="21.6640625" customWidth="1"/>
    <col min="4" max="4" width="10.21875" customWidth="1"/>
    <col min="6" max="7" width="19.44140625" customWidth="1"/>
    <col min="8" max="8" width="15.6640625" customWidth="1"/>
    <col min="9" max="9" width="23.33203125" customWidth="1"/>
    <col min="10" max="10" width="11.6640625" customWidth="1"/>
    <col min="11" max="13" width="13.33203125" customWidth="1"/>
    <col min="14" max="14" width="13.33203125" bestFit="1" customWidth="1"/>
  </cols>
  <sheetData>
    <row r="1" spans="1:14" ht="15" thickBot="1" x14ac:dyDescent="0.35">
      <c r="A1" t="s">
        <v>436</v>
      </c>
      <c r="G1" s="10" t="s">
        <v>16</v>
      </c>
      <c r="H1" s="114"/>
    </row>
    <row r="2" spans="1:14" x14ac:dyDescent="0.3">
      <c r="G2" s="8" t="s">
        <v>15</v>
      </c>
      <c r="H2" s="8"/>
    </row>
    <row r="3" spans="1:14" ht="15" thickBot="1" x14ac:dyDescent="0.35">
      <c r="G3" s="7" t="s">
        <v>14</v>
      </c>
      <c r="H3" s="7"/>
    </row>
    <row r="4" spans="1:14" ht="15.6" thickTop="1" thickBot="1" x14ac:dyDescent="0.35">
      <c r="G4" s="6" t="s">
        <v>13</v>
      </c>
      <c r="H4" s="6"/>
    </row>
    <row r="5" spans="1:14" ht="15" thickTop="1" x14ac:dyDescent="0.3">
      <c r="G5" s="5" t="s">
        <v>12</v>
      </c>
      <c r="H5" s="5"/>
    </row>
    <row r="6" spans="1:14" ht="15" thickBot="1" x14ac:dyDescent="0.35"/>
    <row r="7" spans="1:14" ht="15" thickBot="1" x14ac:dyDescent="0.35">
      <c r="C7" s="399" t="s">
        <v>3</v>
      </c>
      <c r="D7" s="400"/>
      <c r="E7" s="400"/>
      <c r="F7" s="401"/>
    </row>
    <row r="9" spans="1:14" x14ac:dyDescent="0.3">
      <c r="C9" s="1">
        <v>0.7</v>
      </c>
      <c r="D9" t="s">
        <v>435</v>
      </c>
    </row>
    <row r="10" spans="1:14" ht="15" thickBot="1" x14ac:dyDescent="0.35">
      <c r="I10" s="35"/>
      <c r="J10" s="1"/>
    </row>
    <row r="11" spans="1:14" ht="15" thickBot="1" x14ac:dyDescent="0.35">
      <c r="C11" s="399" t="s">
        <v>10</v>
      </c>
      <c r="D11" s="400"/>
      <c r="E11" s="400"/>
      <c r="F11" s="400"/>
      <c r="G11" s="401"/>
      <c r="H11" s="39"/>
      <c r="I11" s="399" t="s">
        <v>0</v>
      </c>
      <c r="J11" s="400"/>
      <c r="K11" s="400"/>
      <c r="L11" s="400"/>
      <c r="M11" s="400"/>
      <c r="N11" s="401"/>
    </row>
    <row r="12" spans="1:14" s="2" customFormat="1" x14ac:dyDescent="0.3">
      <c r="A12" s="2" t="s">
        <v>294</v>
      </c>
    </row>
    <row r="14" spans="1:14" ht="15" thickBot="1" x14ac:dyDescent="0.35">
      <c r="B14" s="79"/>
      <c r="C14" s="79"/>
      <c r="D14" s="79"/>
      <c r="E14" s="79"/>
      <c r="H14" s="113"/>
    </row>
    <row r="15" spans="1:14" ht="15" thickBot="1" x14ac:dyDescent="0.35">
      <c r="B15" s="79"/>
      <c r="C15" s="79"/>
      <c r="E15" s="79"/>
      <c r="F15" s="415" t="s">
        <v>356</v>
      </c>
      <c r="G15" s="416"/>
      <c r="H15" s="98"/>
    </row>
    <row r="16" spans="1:14" ht="15" thickTop="1" x14ac:dyDescent="0.3">
      <c r="B16" s="79"/>
      <c r="C16" s="79"/>
      <c r="D16" s="79"/>
      <c r="E16" s="79"/>
      <c r="F16" s="422" t="s">
        <v>434</v>
      </c>
      <c r="G16" s="422"/>
      <c r="H16" s="95"/>
    </row>
    <row r="17" spans="1:17" x14ac:dyDescent="0.3">
      <c r="B17" s="79"/>
      <c r="C17" s="79"/>
      <c r="D17" s="79"/>
      <c r="E17" s="79"/>
      <c r="F17" s="112" t="s">
        <v>40</v>
      </c>
      <c r="G17" s="84">
        <v>12000000</v>
      </c>
      <c r="H17" s="79"/>
    </row>
    <row r="18" spans="1:17" x14ac:dyDescent="0.3">
      <c r="B18" s="79"/>
      <c r="C18" s="417" t="s">
        <v>128</v>
      </c>
      <c r="D18" s="418"/>
      <c r="E18" s="79"/>
      <c r="F18" s="111" t="s">
        <v>433</v>
      </c>
      <c r="G18" s="81">
        <v>9300000</v>
      </c>
      <c r="H18" s="98"/>
    </row>
    <row r="19" spans="1:17" x14ac:dyDescent="0.3">
      <c r="B19" s="79"/>
      <c r="C19" s="83" t="s">
        <v>364</v>
      </c>
      <c r="D19" s="107">
        <v>0.1</v>
      </c>
      <c r="E19" s="79"/>
      <c r="F19" s="91" t="s">
        <v>364</v>
      </c>
      <c r="G19" s="81">
        <v>2200000</v>
      </c>
      <c r="H19" s="95"/>
    </row>
    <row r="20" spans="1:17" x14ac:dyDescent="0.3">
      <c r="B20" s="79"/>
      <c r="C20" s="83" t="s">
        <v>126</v>
      </c>
      <c r="D20" s="107">
        <v>0.03</v>
      </c>
      <c r="E20" s="79"/>
      <c r="F20" s="91" t="s">
        <v>126</v>
      </c>
      <c r="G20" s="81">
        <v>280000</v>
      </c>
      <c r="H20" s="95"/>
    </row>
    <row r="21" spans="1:17" x14ac:dyDescent="0.3">
      <c r="B21" s="79"/>
      <c r="C21" s="83" t="s">
        <v>117</v>
      </c>
      <c r="D21" s="107">
        <v>0.1</v>
      </c>
      <c r="E21" s="79"/>
      <c r="F21" s="91" t="s">
        <v>117</v>
      </c>
      <c r="G21" s="81">
        <v>1200000</v>
      </c>
      <c r="H21" s="95"/>
    </row>
    <row r="22" spans="1:17" x14ac:dyDescent="0.3">
      <c r="B22" s="79"/>
      <c r="C22" s="83" t="s">
        <v>363</v>
      </c>
      <c r="D22" s="107">
        <v>0.02</v>
      </c>
      <c r="E22" s="79"/>
      <c r="F22" s="91" t="s">
        <v>363</v>
      </c>
      <c r="G22" s="81">
        <v>240000</v>
      </c>
      <c r="H22" s="95"/>
    </row>
    <row r="23" spans="1:17" x14ac:dyDescent="0.3">
      <c r="B23" s="79"/>
      <c r="C23" s="83" t="s">
        <v>56</v>
      </c>
      <c r="D23" s="107">
        <v>0.05</v>
      </c>
      <c r="E23" s="79"/>
      <c r="F23" s="79"/>
      <c r="G23" s="95"/>
      <c r="H23" s="95"/>
    </row>
    <row r="24" spans="1:17" x14ac:dyDescent="0.3">
      <c r="B24" s="79"/>
      <c r="C24" s="79"/>
      <c r="D24" s="102"/>
      <c r="E24" s="79"/>
      <c r="F24" s="79"/>
      <c r="G24" s="95"/>
      <c r="H24" s="95"/>
    </row>
    <row r="25" spans="1:17" x14ac:dyDescent="0.3">
      <c r="B25" s="79"/>
      <c r="C25" s="79"/>
      <c r="D25" s="102"/>
      <c r="E25" s="79"/>
      <c r="F25" s="79"/>
      <c r="G25" s="95"/>
      <c r="H25" s="95"/>
    </row>
    <row r="26" spans="1:17" x14ac:dyDescent="0.3">
      <c r="B26" s="79"/>
      <c r="C26" s="79"/>
      <c r="D26" s="102"/>
      <c r="E26" s="79"/>
      <c r="F26" s="79"/>
      <c r="G26" s="95"/>
      <c r="H26" s="95"/>
    </row>
    <row r="27" spans="1:17" x14ac:dyDescent="0.3">
      <c r="B27" s="79"/>
      <c r="C27" s="79"/>
      <c r="D27" s="102"/>
      <c r="E27" s="79"/>
      <c r="F27" s="79"/>
      <c r="G27" s="95"/>
      <c r="H27" s="95"/>
      <c r="I27" s="79"/>
      <c r="J27" s="79"/>
      <c r="K27" s="79"/>
      <c r="L27" s="79"/>
      <c r="M27" s="79"/>
      <c r="N27" s="79"/>
      <c r="O27" s="79"/>
      <c r="P27" s="79"/>
      <c r="Q27" s="80"/>
    </row>
    <row r="28" spans="1:17" s="2" customFormat="1" x14ac:dyDescent="0.3">
      <c r="A28" s="2" t="s">
        <v>432</v>
      </c>
      <c r="B28" s="109"/>
      <c r="F28" s="109"/>
      <c r="G28" s="110"/>
      <c r="H28" s="110"/>
      <c r="I28" s="109"/>
      <c r="J28" s="109"/>
      <c r="K28" s="109"/>
      <c r="L28" s="109"/>
      <c r="M28" s="109"/>
      <c r="N28" s="109"/>
      <c r="O28" s="109"/>
      <c r="P28" s="109"/>
      <c r="Q28" s="108"/>
    </row>
    <row r="29" spans="1:17" x14ac:dyDescent="0.3">
      <c r="B29" s="79"/>
      <c r="D29" s="102"/>
      <c r="F29" s="79"/>
      <c r="G29" s="95"/>
      <c r="H29" s="95"/>
      <c r="I29" s="79"/>
      <c r="J29" s="79"/>
      <c r="K29" s="79"/>
      <c r="L29" s="79"/>
      <c r="M29" s="79"/>
      <c r="N29" s="79"/>
      <c r="O29" s="79"/>
      <c r="P29" s="79"/>
      <c r="Q29" s="80"/>
    </row>
    <row r="30" spans="1:17" x14ac:dyDescent="0.3">
      <c r="B30" s="79"/>
      <c r="C30" s="79" t="s">
        <v>431</v>
      </c>
      <c r="D30" s="102"/>
      <c r="F30" s="79"/>
      <c r="G30" s="95"/>
      <c r="H30" s="95"/>
      <c r="I30" s="79"/>
      <c r="J30" s="79"/>
      <c r="K30" s="79"/>
      <c r="L30" s="79"/>
      <c r="M30" s="79"/>
      <c r="N30" s="79"/>
      <c r="O30" s="79"/>
      <c r="P30" s="79"/>
      <c r="Q30" s="80"/>
    </row>
    <row r="31" spans="1:17" x14ac:dyDescent="0.3">
      <c r="B31" s="79"/>
      <c r="C31" s="79" t="s">
        <v>430</v>
      </c>
      <c r="D31" s="102"/>
      <c r="F31" s="79"/>
      <c r="G31" s="95"/>
      <c r="H31" s="95"/>
      <c r="I31" s="79"/>
      <c r="J31" s="79"/>
      <c r="K31" s="79"/>
      <c r="L31" s="79"/>
      <c r="M31" s="79"/>
      <c r="N31" s="79"/>
      <c r="O31" s="79"/>
      <c r="P31" s="79"/>
      <c r="Q31" s="80"/>
    </row>
    <row r="32" spans="1:17" x14ac:dyDescent="0.3">
      <c r="B32" s="79"/>
      <c r="C32" s="79"/>
      <c r="D32" s="102"/>
      <c r="F32" s="79"/>
      <c r="G32" s="95"/>
      <c r="H32" s="95"/>
      <c r="I32" s="79"/>
      <c r="J32" s="79"/>
      <c r="K32" s="79"/>
      <c r="L32" s="79"/>
      <c r="M32" s="79"/>
      <c r="N32" s="79"/>
      <c r="O32" s="79"/>
      <c r="P32" s="79"/>
      <c r="Q32" s="80"/>
    </row>
    <row r="33" spans="2:8" x14ac:dyDescent="0.3">
      <c r="B33" s="79"/>
      <c r="C33" s="104" t="s">
        <v>429</v>
      </c>
      <c r="D33" s="89">
        <v>17</v>
      </c>
      <c r="F33" s="79"/>
      <c r="G33" s="95"/>
      <c r="H33" s="95"/>
    </row>
    <row r="34" spans="2:8" x14ac:dyDescent="0.3">
      <c r="B34" s="79"/>
      <c r="C34" s="106"/>
      <c r="D34" s="79"/>
      <c r="F34" s="79"/>
      <c r="G34" s="95"/>
      <c r="H34" s="95"/>
    </row>
    <row r="35" spans="2:8" x14ac:dyDescent="0.3">
      <c r="B35" s="79"/>
      <c r="C35" s="421" t="s">
        <v>428</v>
      </c>
      <c r="D35" s="421"/>
      <c r="F35" s="79"/>
      <c r="G35" s="95"/>
      <c r="H35" s="95"/>
    </row>
    <row r="36" spans="2:8" x14ac:dyDescent="0.3">
      <c r="B36" s="79"/>
      <c r="C36" s="104" t="s">
        <v>427</v>
      </c>
      <c r="D36" s="89">
        <v>7</v>
      </c>
      <c r="E36" s="79"/>
      <c r="F36" s="79"/>
      <c r="G36" s="95"/>
      <c r="H36" s="95"/>
    </row>
    <row r="37" spans="2:8" x14ac:dyDescent="0.3">
      <c r="B37" s="79"/>
      <c r="C37" s="104" t="s">
        <v>426</v>
      </c>
      <c r="D37" s="89">
        <v>3</v>
      </c>
      <c r="E37" s="79"/>
      <c r="F37" s="79"/>
      <c r="G37" s="95"/>
      <c r="H37" s="95"/>
    </row>
    <row r="38" spans="2:8" x14ac:dyDescent="0.3">
      <c r="B38" s="79"/>
      <c r="C38" s="104" t="s">
        <v>425</v>
      </c>
      <c r="D38" s="89">
        <v>5</v>
      </c>
      <c r="E38" s="79"/>
      <c r="F38" s="79"/>
      <c r="G38" s="95"/>
      <c r="H38" s="95"/>
    </row>
    <row r="39" spans="2:8" x14ac:dyDescent="0.3">
      <c r="B39" s="79"/>
      <c r="C39" s="102"/>
      <c r="D39" s="79"/>
      <c r="E39" s="79"/>
      <c r="F39" s="79"/>
      <c r="G39" s="95"/>
      <c r="H39" s="95"/>
    </row>
    <row r="40" spans="2:8" x14ac:dyDescent="0.3">
      <c r="B40" s="79"/>
      <c r="C40" s="107" t="s">
        <v>424</v>
      </c>
      <c r="D40" s="103">
        <v>0.8</v>
      </c>
      <c r="F40" s="95"/>
      <c r="H40" s="95"/>
    </row>
    <row r="41" spans="2:8" x14ac:dyDescent="0.3">
      <c r="B41" s="79"/>
      <c r="F41" s="95"/>
      <c r="H41" s="95"/>
    </row>
    <row r="42" spans="2:8" x14ac:dyDescent="0.3">
      <c r="B42" s="79"/>
      <c r="C42" s="106" t="s">
        <v>423</v>
      </c>
      <c r="F42" s="95"/>
      <c r="H42" s="95"/>
    </row>
    <row r="43" spans="2:8" x14ac:dyDescent="0.3">
      <c r="B43" s="79"/>
      <c r="C43" s="106" t="s">
        <v>422</v>
      </c>
      <c r="F43" s="95"/>
      <c r="H43" s="95"/>
    </row>
    <row r="44" spans="2:8" x14ac:dyDescent="0.3">
      <c r="B44" s="79"/>
      <c r="F44" s="95"/>
      <c r="H44" s="95"/>
    </row>
    <row r="45" spans="2:8" ht="32.700000000000003" customHeight="1" x14ac:dyDescent="0.3">
      <c r="B45" s="79"/>
      <c r="C45" s="102"/>
      <c r="F45" s="105" t="s">
        <v>421</v>
      </c>
      <c r="G45" s="105" t="s">
        <v>420</v>
      </c>
      <c r="H45" s="95"/>
    </row>
    <row r="46" spans="2:8" x14ac:dyDescent="0.3">
      <c r="B46" s="79"/>
      <c r="C46" s="420" t="s">
        <v>419</v>
      </c>
      <c r="D46" s="420"/>
      <c r="E46" s="420"/>
      <c r="F46" s="103">
        <v>0</v>
      </c>
      <c r="G46" s="103">
        <v>1</v>
      </c>
      <c r="H46" s="95"/>
    </row>
    <row r="47" spans="2:8" x14ac:dyDescent="0.3">
      <c r="B47" s="79"/>
      <c r="C47" s="420" t="s">
        <v>128</v>
      </c>
      <c r="D47" s="420"/>
      <c r="E47" s="420"/>
      <c r="F47" s="103">
        <v>0</v>
      </c>
      <c r="G47" s="103">
        <v>1</v>
      </c>
      <c r="H47" s="95"/>
    </row>
    <row r="48" spans="2:8" x14ac:dyDescent="0.3">
      <c r="B48" s="79"/>
      <c r="C48" s="420" t="s">
        <v>41</v>
      </c>
      <c r="D48" s="420"/>
      <c r="E48" s="420"/>
      <c r="F48" s="103">
        <v>1</v>
      </c>
      <c r="G48" s="103">
        <v>0</v>
      </c>
      <c r="H48" s="95"/>
    </row>
    <row r="49" spans="2:8" x14ac:dyDescent="0.3">
      <c r="B49" s="79"/>
      <c r="C49" s="420" t="s">
        <v>49</v>
      </c>
      <c r="D49" s="420"/>
      <c r="E49" s="420"/>
      <c r="F49" s="103">
        <v>1</v>
      </c>
      <c r="G49" s="103">
        <v>0</v>
      </c>
      <c r="H49" s="95"/>
    </row>
    <row r="50" spans="2:8" x14ac:dyDescent="0.3">
      <c r="B50" s="79"/>
      <c r="C50" s="420" t="s">
        <v>113</v>
      </c>
      <c r="D50" s="420"/>
      <c r="E50" s="420"/>
      <c r="F50" s="103">
        <v>1</v>
      </c>
      <c r="G50" s="103">
        <v>0</v>
      </c>
      <c r="H50" s="95"/>
    </row>
    <row r="51" spans="2:8" x14ac:dyDescent="0.3">
      <c r="B51" s="79"/>
      <c r="C51" s="420" t="s">
        <v>100</v>
      </c>
      <c r="D51" s="420"/>
      <c r="E51" s="420"/>
      <c r="F51" s="103">
        <v>0.5</v>
      </c>
      <c r="G51" s="103">
        <v>0.5</v>
      </c>
      <c r="H51" s="95"/>
    </row>
    <row r="52" spans="2:8" x14ac:dyDescent="0.3">
      <c r="B52" s="79"/>
      <c r="C52" s="420" t="s">
        <v>418</v>
      </c>
      <c r="D52" s="420"/>
      <c r="E52" s="420"/>
      <c r="F52" s="103">
        <v>0.5</v>
      </c>
      <c r="G52" s="103">
        <v>0.5</v>
      </c>
      <c r="H52" s="95"/>
    </row>
    <row r="53" spans="2:8" ht="15" thickBot="1" x14ac:dyDescent="0.35">
      <c r="B53" s="79"/>
      <c r="C53" s="79"/>
      <c r="D53" s="102"/>
      <c r="E53" s="79"/>
      <c r="F53" s="79"/>
      <c r="G53" s="95"/>
      <c r="H53" s="95"/>
    </row>
    <row r="54" spans="2:8" ht="15" thickBot="1" x14ac:dyDescent="0.35">
      <c r="B54" s="79"/>
      <c r="C54" s="415" t="s">
        <v>417</v>
      </c>
      <c r="D54" s="416"/>
      <c r="E54" s="79"/>
      <c r="F54" s="79"/>
      <c r="G54" s="95"/>
      <c r="H54" s="95"/>
    </row>
    <row r="55" spans="2:8" ht="15.6" thickTop="1" thickBot="1" x14ac:dyDescent="0.35">
      <c r="B55" s="79"/>
      <c r="C55" s="79"/>
      <c r="D55" s="79"/>
      <c r="E55" s="79"/>
      <c r="F55" s="415" t="s">
        <v>356</v>
      </c>
      <c r="G55" s="416"/>
      <c r="H55" s="79"/>
    </row>
    <row r="56" spans="2:8" ht="15" thickTop="1" x14ac:dyDescent="0.3">
      <c r="B56" s="79"/>
      <c r="C56" s="417" t="s">
        <v>113</v>
      </c>
      <c r="D56" s="418"/>
      <c r="E56" s="79"/>
      <c r="F56" s="79"/>
      <c r="G56" s="79"/>
      <c r="H56" s="79"/>
    </row>
    <row r="57" spans="2:8" x14ac:dyDescent="0.3">
      <c r="B57" s="79"/>
      <c r="C57" s="83" t="s">
        <v>362</v>
      </c>
      <c r="D57" s="89" t="s">
        <v>123</v>
      </c>
      <c r="E57" s="79"/>
      <c r="F57" s="85" t="s">
        <v>40</v>
      </c>
      <c r="G57" s="85" t="s">
        <v>39</v>
      </c>
      <c r="H57" s="98"/>
    </row>
    <row r="58" spans="2:8" x14ac:dyDescent="0.3">
      <c r="B58" s="79"/>
      <c r="C58" s="88" t="s">
        <v>112</v>
      </c>
      <c r="D58" s="96">
        <v>1.1000000000000001</v>
      </c>
      <c r="E58" s="79"/>
      <c r="F58" s="84">
        <v>1000000</v>
      </c>
      <c r="G58" s="84">
        <v>1000000</v>
      </c>
      <c r="H58" s="97"/>
    </row>
    <row r="59" spans="2:8" x14ac:dyDescent="0.3">
      <c r="B59" s="79"/>
      <c r="C59" s="88" t="s">
        <v>110</v>
      </c>
      <c r="D59" s="96">
        <v>1.05</v>
      </c>
      <c r="E59" s="79"/>
      <c r="F59" s="84">
        <v>4000000</v>
      </c>
      <c r="G59" s="84">
        <v>3500000</v>
      </c>
      <c r="H59" s="97"/>
    </row>
    <row r="60" spans="2:8" x14ac:dyDescent="0.3">
      <c r="B60" s="79"/>
      <c r="C60" s="83" t="s">
        <v>108</v>
      </c>
      <c r="D60" s="96">
        <v>1</v>
      </c>
      <c r="E60" s="79"/>
      <c r="F60" s="84">
        <v>2500000</v>
      </c>
      <c r="G60" s="84">
        <v>1800000</v>
      </c>
      <c r="H60" s="97"/>
    </row>
    <row r="61" spans="2:8" x14ac:dyDescent="0.3">
      <c r="B61" s="79"/>
      <c r="C61" s="83" t="s">
        <v>106</v>
      </c>
      <c r="D61" s="96">
        <v>0.95</v>
      </c>
      <c r="E61" s="79"/>
      <c r="F61" s="84">
        <v>1500000</v>
      </c>
      <c r="G61" s="84">
        <v>1000000</v>
      </c>
      <c r="H61" s="97"/>
    </row>
    <row r="62" spans="2:8" x14ac:dyDescent="0.3">
      <c r="B62" s="79"/>
      <c r="C62" s="83" t="s">
        <v>104</v>
      </c>
      <c r="D62" s="96">
        <v>0.9</v>
      </c>
      <c r="E62" s="79"/>
      <c r="F62" s="84">
        <v>3000000</v>
      </c>
      <c r="G62" s="84">
        <v>2000000</v>
      </c>
      <c r="H62" s="97"/>
    </row>
    <row r="63" spans="2:8" x14ac:dyDescent="0.3">
      <c r="B63" s="79"/>
      <c r="C63" s="79"/>
      <c r="D63" s="79"/>
      <c r="E63" s="79"/>
    </row>
    <row r="64" spans="2:8" x14ac:dyDescent="0.3">
      <c r="B64" s="79"/>
      <c r="C64" s="417" t="s">
        <v>100</v>
      </c>
      <c r="D64" s="418"/>
      <c r="E64" s="79"/>
      <c r="F64" s="79"/>
      <c r="G64" s="79"/>
      <c r="H64" s="79"/>
    </row>
    <row r="65" spans="2:8" x14ac:dyDescent="0.3">
      <c r="B65" s="79"/>
      <c r="C65" s="83" t="s">
        <v>100</v>
      </c>
      <c r="D65" s="89" t="s">
        <v>123</v>
      </c>
      <c r="E65" s="79"/>
      <c r="F65" s="85" t="s">
        <v>40</v>
      </c>
      <c r="G65" s="85" t="s">
        <v>39</v>
      </c>
      <c r="H65" s="98"/>
    </row>
    <row r="66" spans="2:8" x14ac:dyDescent="0.3">
      <c r="B66" s="79"/>
      <c r="C66" s="83" t="s">
        <v>416</v>
      </c>
      <c r="D66" s="99">
        <v>1.5</v>
      </c>
      <c r="E66" s="79"/>
      <c r="F66" s="84">
        <v>500000</v>
      </c>
      <c r="G66" s="84">
        <v>300000</v>
      </c>
      <c r="H66" s="97"/>
    </row>
    <row r="67" spans="2:8" x14ac:dyDescent="0.3">
      <c r="B67" s="79"/>
      <c r="C67" s="83" t="s">
        <v>415</v>
      </c>
      <c r="D67" s="99">
        <v>0.8</v>
      </c>
      <c r="E67" s="79"/>
      <c r="F67" s="81">
        <v>1500000</v>
      </c>
      <c r="G67" s="81">
        <v>700000</v>
      </c>
      <c r="H67" s="95"/>
    </row>
    <row r="68" spans="2:8" x14ac:dyDescent="0.3">
      <c r="B68" s="79"/>
      <c r="C68" s="83" t="s">
        <v>414</v>
      </c>
      <c r="D68" s="99">
        <v>0.9</v>
      </c>
      <c r="E68" s="79"/>
      <c r="F68" s="81">
        <v>1500000</v>
      </c>
      <c r="G68" s="81">
        <v>1000000</v>
      </c>
      <c r="H68" s="95"/>
    </row>
    <row r="69" spans="2:8" x14ac:dyDescent="0.3">
      <c r="B69" s="79"/>
      <c r="C69" s="83" t="s">
        <v>96</v>
      </c>
      <c r="D69" s="99">
        <v>1.5</v>
      </c>
      <c r="E69" s="79"/>
      <c r="F69" s="81">
        <v>3500000</v>
      </c>
      <c r="G69" s="81">
        <v>4000000</v>
      </c>
      <c r="H69" s="95"/>
    </row>
    <row r="70" spans="2:8" x14ac:dyDescent="0.3">
      <c r="B70" s="79"/>
      <c r="C70" s="83" t="s">
        <v>413</v>
      </c>
      <c r="D70" s="99">
        <v>1</v>
      </c>
      <c r="E70" s="79"/>
      <c r="F70" s="81">
        <v>5000000</v>
      </c>
      <c r="G70" s="81">
        <v>3300000</v>
      </c>
      <c r="H70" s="95"/>
    </row>
    <row r="71" spans="2:8" x14ac:dyDescent="0.3">
      <c r="B71" s="79"/>
      <c r="C71" s="79"/>
      <c r="D71" s="101"/>
      <c r="E71" s="79"/>
    </row>
    <row r="72" spans="2:8" x14ac:dyDescent="0.3">
      <c r="B72" s="79"/>
      <c r="C72" s="79"/>
      <c r="D72" s="79"/>
      <c r="E72" s="79"/>
      <c r="F72" s="79"/>
      <c r="G72" s="79"/>
      <c r="H72" s="79"/>
    </row>
    <row r="73" spans="2:8" x14ac:dyDescent="0.3">
      <c r="B73" s="79"/>
      <c r="C73" s="417" t="s">
        <v>41</v>
      </c>
      <c r="D73" s="418"/>
      <c r="E73" s="79"/>
      <c r="F73" s="85" t="s">
        <v>40</v>
      </c>
      <c r="G73" s="85" t="s">
        <v>39</v>
      </c>
      <c r="H73" s="98"/>
    </row>
    <row r="74" spans="2:8" x14ac:dyDescent="0.3">
      <c r="B74" s="79"/>
      <c r="C74" s="83" t="s">
        <v>38</v>
      </c>
      <c r="D74" s="96">
        <v>0.5</v>
      </c>
      <c r="E74" s="79"/>
      <c r="F74" s="84">
        <v>1500000</v>
      </c>
      <c r="G74" s="84">
        <v>1162500</v>
      </c>
      <c r="H74" s="97"/>
    </row>
    <row r="75" spans="2:8" x14ac:dyDescent="0.3">
      <c r="B75" s="79"/>
      <c r="C75" s="83" t="s">
        <v>111</v>
      </c>
      <c r="D75" s="96">
        <v>0.75</v>
      </c>
      <c r="E75" s="79"/>
      <c r="F75" s="81">
        <v>2500000</v>
      </c>
      <c r="G75" s="81">
        <v>1937500</v>
      </c>
      <c r="H75" s="95"/>
    </row>
    <row r="76" spans="2:8" x14ac:dyDescent="0.3">
      <c r="B76" s="79"/>
      <c r="C76" s="83" t="s">
        <v>36</v>
      </c>
      <c r="D76" s="96">
        <v>1.5</v>
      </c>
      <c r="E76" s="79"/>
      <c r="F76" s="81">
        <v>2000000</v>
      </c>
      <c r="G76" s="81">
        <v>1550000</v>
      </c>
      <c r="H76" s="95"/>
    </row>
    <row r="77" spans="2:8" x14ac:dyDescent="0.3">
      <c r="B77" s="79"/>
      <c r="C77" s="83" t="s">
        <v>35</v>
      </c>
      <c r="D77" s="96">
        <v>0.5</v>
      </c>
      <c r="E77" s="79"/>
      <c r="F77" s="81">
        <v>2000000</v>
      </c>
      <c r="G77" s="81">
        <v>1550000</v>
      </c>
      <c r="H77" s="95"/>
    </row>
    <row r="78" spans="2:8" x14ac:dyDescent="0.3">
      <c r="B78" s="79"/>
      <c r="C78" s="83" t="s">
        <v>105</v>
      </c>
      <c r="D78" s="96">
        <v>1.75</v>
      </c>
      <c r="E78" s="79"/>
      <c r="F78" s="81">
        <v>2000000</v>
      </c>
      <c r="G78" s="81">
        <v>1550000</v>
      </c>
      <c r="H78" s="95"/>
    </row>
    <row r="79" spans="2:8" x14ac:dyDescent="0.3">
      <c r="B79" s="79"/>
      <c r="C79" s="83" t="s">
        <v>33</v>
      </c>
      <c r="D79" s="96">
        <v>1.25</v>
      </c>
      <c r="E79" s="79"/>
      <c r="F79" s="81">
        <v>2000000</v>
      </c>
      <c r="G79" s="81">
        <v>1550000</v>
      </c>
      <c r="H79" s="95"/>
    </row>
    <row r="80" spans="2:8" x14ac:dyDescent="0.3">
      <c r="B80" s="79"/>
      <c r="C80" s="79"/>
      <c r="D80" s="100"/>
      <c r="E80" s="79"/>
    </row>
    <row r="81" spans="2:8" x14ac:dyDescent="0.3">
      <c r="B81" s="79"/>
      <c r="C81" s="79"/>
      <c r="D81" s="79"/>
      <c r="E81" s="79"/>
      <c r="F81" s="79"/>
      <c r="G81" s="79"/>
      <c r="H81" s="79"/>
    </row>
    <row r="82" spans="2:8" x14ac:dyDescent="0.3">
      <c r="B82" s="79"/>
      <c r="C82" s="417" t="s">
        <v>49</v>
      </c>
      <c r="D82" s="418"/>
      <c r="E82" s="79"/>
      <c r="F82" s="85" t="s">
        <v>40</v>
      </c>
      <c r="G82" s="85" t="s">
        <v>39</v>
      </c>
      <c r="H82" s="98"/>
    </row>
    <row r="83" spans="2:8" x14ac:dyDescent="0.3">
      <c r="B83" s="79"/>
      <c r="C83" s="83" t="s">
        <v>48</v>
      </c>
      <c r="D83" s="99">
        <v>1.1000000000000001</v>
      </c>
      <c r="E83" s="79"/>
      <c r="F83" s="84">
        <v>4000000</v>
      </c>
      <c r="G83" s="84">
        <v>5000000</v>
      </c>
      <c r="H83" s="97"/>
    </row>
    <row r="84" spans="2:8" x14ac:dyDescent="0.3">
      <c r="B84" s="79"/>
      <c r="C84" s="83" t="s">
        <v>47</v>
      </c>
      <c r="D84" s="99">
        <v>0.9</v>
      </c>
      <c r="E84" s="79"/>
      <c r="F84" s="81">
        <v>2000000</v>
      </c>
      <c r="G84" s="81">
        <v>1300000</v>
      </c>
      <c r="H84" s="95"/>
    </row>
    <row r="85" spans="2:8" x14ac:dyDescent="0.3">
      <c r="B85" s="79"/>
      <c r="C85" s="83" t="s">
        <v>46</v>
      </c>
      <c r="D85" s="99">
        <v>0.9</v>
      </c>
      <c r="E85" s="79"/>
      <c r="F85" s="81">
        <v>3000000</v>
      </c>
      <c r="G85" s="81">
        <v>1300000</v>
      </c>
      <c r="H85" s="95"/>
    </row>
    <row r="86" spans="2:8" x14ac:dyDescent="0.3">
      <c r="B86" s="79"/>
      <c r="C86" s="83" t="s">
        <v>45</v>
      </c>
      <c r="D86" s="99">
        <v>1.1000000000000001</v>
      </c>
      <c r="E86" s="79"/>
      <c r="F86" s="81">
        <v>1000000</v>
      </c>
      <c r="G86" s="81">
        <v>700000</v>
      </c>
      <c r="H86" s="95"/>
    </row>
    <row r="87" spans="2:8" x14ac:dyDescent="0.3">
      <c r="B87" s="79"/>
      <c r="C87" s="83" t="s">
        <v>44</v>
      </c>
      <c r="D87" s="99">
        <v>1</v>
      </c>
      <c r="E87" s="79"/>
      <c r="F87" s="81">
        <v>2000000</v>
      </c>
      <c r="G87" s="81">
        <v>1000000</v>
      </c>
      <c r="H87" s="95"/>
    </row>
    <row r="88" spans="2:8" x14ac:dyDescent="0.3">
      <c r="B88" s="79"/>
      <c r="C88" s="79"/>
      <c r="D88" s="79"/>
      <c r="E88" s="79"/>
    </row>
    <row r="89" spans="2:8" x14ac:dyDescent="0.3">
      <c r="B89" s="417" t="s">
        <v>412</v>
      </c>
      <c r="C89" s="419"/>
      <c r="D89" s="418"/>
      <c r="E89" s="79"/>
      <c r="F89" s="79"/>
      <c r="G89" s="79"/>
      <c r="H89" s="79"/>
    </row>
    <row r="90" spans="2:8" x14ac:dyDescent="0.3">
      <c r="B90" s="83" t="s">
        <v>411</v>
      </c>
      <c r="C90" s="83" t="s">
        <v>410</v>
      </c>
      <c r="D90" s="89" t="s">
        <v>123</v>
      </c>
      <c r="E90" s="79"/>
      <c r="F90" s="85" t="s">
        <v>40</v>
      </c>
      <c r="G90" s="85" t="s">
        <v>39</v>
      </c>
      <c r="H90" s="98"/>
    </row>
    <row r="91" spans="2:8" x14ac:dyDescent="0.3">
      <c r="B91" s="83" t="s">
        <v>89</v>
      </c>
      <c r="C91" s="83" t="s">
        <v>409</v>
      </c>
      <c r="D91" s="96">
        <v>2</v>
      </c>
      <c r="E91" s="79"/>
      <c r="F91" s="84">
        <v>1000000</v>
      </c>
      <c r="G91" s="84">
        <v>800000</v>
      </c>
      <c r="H91" s="97"/>
    </row>
    <row r="92" spans="2:8" x14ac:dyDescent="0.3">
      <c r="B92" s="83" t="s">
        <v>88</v>
      </c>
      <c r="C92" s="83" t="s">
        <v>409</v>
      </c>
      <c r="D92" s="96">
        <v>1.5</v>
      </c>
      <c r="E92" s="79"/>
      <c r="F92" s="81">
        <v>1000000</v>
      </c>
      <c r="G92" s="81">
        <v>700000</v>
      </c>
      <c r="H92" s="95"/>
    </row>
    <row r="93" spans="2:8" x14ac:dyDescent="0.3">
      <c r="B93" s="83" t="s">
        <v>89</v>
      </c>
      <c r="C93" s="83" t="s">
        <v>408</v>
      </c>
      <c r="D93" s="96">
        <v>1</v>
      </c>
      <c r="E93" s="79"/>
      <c r="F93" s="81">
        <v>3000000</v>
      </c>
      <c r="G93" s="81">
        <v>2100000</v>
      </c>
      <c r="H93" s="95"/>
    </row>
    <row r="94" spans="2:8" x14ac:dyDescent="0.3">
      <c r="B94" s="83" t="s">
        <v>88</v>
      </c>
      <c r="C94" s="83" t="s">
        <v>408</v>
      </c>
      <c r="D94" s="96">
        <v>0.75</v>
      </c>
      <c r="E94" s="79"/>
      <c r="F94" s="81">
        <v>7000000</v>
      </c>
      <c r="G94" s="81">
        <v>5700000</v>
      </c>
      <c r="H94" s="95"/>
    </row>
    <row r="95" spans="2:8" x14ac:dyDescent="0.3">
      <c r="B95" s="79"/>
      <c r="C95" s="79"/>
      <c r="D95" s="79"/>
      <c r="E95" s="79"/>
    </row>
    <row r="96" spans="2:8" x14ac:dyDescent="0.3">
      <c r="B96" s="79"/>
      <c r="C96" s="79"/>
      <c r="D96" s="79"/>
      <c r="E96" s="79"/>
      <c r="F96" s="79"/>
      <c r="G96" s="79"/>
      <c r="H96" s="79"/>
    </row>
    <row r="97" spans="2:8" x14ac:dyDescent="0.3">
      <c r="B97" s="79"/>
      <c r="C97" s="79"/>
      <c r="D97" s="79"/>
      <c r="E97" s="79"/>
      <c r="F97" s="79"/>
      <c r="G97" s="79"/>
      <c r="H97" s="79"/>
    </row>
  </sheetData>
  <mergeCells count="21">
    <mergeCell ref="C18:D18"/>
    <mergeCell ref="C7:F7"/>
    <mergeCell ref="C11:G11"/>
    <mergeCell ref="I11:N11"/>
    <mergeCell ref="F15:G15"/>
    <mergeCell ref="F16:G16"/>
    <mergeCell ref="F55:G55"/>
    <mergeCell ref="C56:D56"/>
    <mergeCell ref="C64:D64"/>
    <mergeCell ref="C35:D35"/>
    <mergeCell ref="C46:E46"/>
    <mergeCell ref="C47:E47"/>
    <mergeCell ref="C48:E48"/>
    <mergeCell ref="C49:E49"/>
    <mergeCell ref="C50:E50"/>
    <mergeCell ref="C73:D73"/>
    <mergeCell ref="C82:D82"/>
    <mergeCell ref="B89:D89"/>
    <mergeCell ref="C51:E51"/>
    <mergeCell ref="C52:E52"/>
    <mergeCell ref="C54:D54"/>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7FF3-B546-4D6B-BB06-9170AB9346EF}">
  <sheetPr>
    <tabColor theme="9" tint="0.59999389629810485"/>
  </sheetPr>
  <dimension ref="A1:AF97"/>
  <sheetViews>
    <sheetView workbookViewId="0">
      <pane xSplit="2" ySplit="12" topLeftCell="C13" activePane="bottomRight" state="frozen"/>
      <selection activeCell="O51" sqref="O51"/>
      <selection pane="topRight" activeCell="O51" sqref="O51"/>
      <selection pane="bottomLeft" activeCell="O51" sqref="O51"/>
      <selection pane="bottomRight" activeCell="O51" sqref="O51"/>
    </sheetView>
  </sheetViews>
  <sheetFormatPr defaultRowHeight="14.4" x14ac:dyDescent="0.3"/>
  <cols>
    <col min="3" max="3" width="21.6640625" customWidth="1"/>
    <col min="4" max="4" width="10.21875" customWidth="1"/>
    <col min="6" max="7" width="19.44140625" customWidth="1"/>
    <col min="8" max="8" width="15.6640625" customWidth="1"/>
    <col min="9" max="9" width="23.33203125" customWidth="1"/>
    <col min="10" max="10" width="11.6640625" customWidth="1"/>
    <col min="11" max="13" width="13.33203125" customWidth="1"/>
    <col min="14" max="14" width="13.33203125" bestFit="1" customWidth="1"/>
  </cols>
  <sheetData>
    <row r="1" spans="1:17" ht="15" thickBot="1" x14ac:dyDescent="0.35">
      <c r="A1" t="s">
        <v>436</v>
      </c>
      <c r="G1" s="10" t="s">
        <v>16</v>
      </c>
      <c r="H1" s="114"/>
    </row>
    <row r="2" spans="1:17" x14ac:dyDescent="0.3">
      <c r="G2" s="8" t="s">
        <v>15</v>
      </c>
      <c r="H2" s="8"/>
    </row>
    <row r="3" spans="1:17" ht="15" thickBot="1" x14ac:dyDescent="0.35">
      <c r="G3" s="7" t="s">
        <v>14</v>
      </c>
      <c r="H3" s="7"/>
    </row>
    <row r="4" spans="1:17" ht="15.6" thickTop="1" thickBot="1" x14ac:dyDescent="0.35">
      <c r="G4" s="6" t="s">
        <v>13</v>
      </c>
      <c r="H4" s="6"/>
    </row>
    <row r="5" spans="1:17" ht="15" thickTop="1" x14ac:dyDescent="0.3">
      <c r="G5" s="5" t="s">
        <v>12</v>
      </c>
      <c r="H5" s="5"/>
    </row>
    <row r="6" spans="1:17" ht="15" thickBot="1" x14ac:dyDescent="0.35"/>
    <row r="7" spans="1:17" ht="15" thickBot="1" x14ac:dyDescent="0.35">
      <c r="C7" s="399" t="s">
        <v>3</v>
      </c>
      <c r="D7" s="400"/>
      <c r="E7" s="400"/>
      <c r="F7" s="401"/>
    </row>
    <row r="9" spans="1:17" x14ac:dyDescent="0.3">
      <c r="C9" s="1">
        <v>0.7</v>
      </c>
      <c r="D9" t="s">
        <v>435</v>
      </c>
    </row>
    <row r="10" spans="1:17" ht="15" thickBot="1" x14ac:dyDescent="0.35">
      <c r="I10" s="35"/>
      <c r="J10" s="1"/>
    </row>
    <row r="11" spans="1:17" ht="15" thickBot="1" x14ac:dyDescent="0.35">
      <c r="C11" s="399" t="s">
        <v>10</v>
      </c>
      <c r="D11" s="400"/>
      <c r="E11" s="400"/>
      <c r="F11" s="400"/>
      <c r="G11" s="401"/>
      <c r="H11" s="39"/>
      <c r="I11" s="399" t="s">
        <v>0</v>
      </c>
      <c r="J11" s="400"/>
      <c r="K11" s="400"/>
      <c r="L11" s="400"/>
      <c r="M11" s="400"/>
      <c r="N11" s="401"/>
    </row>
    <row r="12" spans="1:17" s="2" customFormat="1" x14ac:dyDescent="0.3">
      <c r="A12" s="2" t="s">
        <v>294</v>
      </c>
    </row>
    <row r="14" spans="1:17" ht="15" thickBot="1" x14ac:dyDescent="0.35">
      <c r="B14" s="79"/>
      <c r="C14" s="79"/>
      <c r="D14" s="79"/>
      <c r="E14" s="79"/>
      <c r="H14" s="113"/>
      <c r="I14" s="35" t="s">
        <v>485</v>
      </c>
      <c r="J14" s="18">
        <f>G17</f>
        <v>12000000</v>
      </c>
      <c r="N14" s="79"/>
      <c r="O14" s="79"/>
      <c r="P14" s="79"/>
      <c r="Q14" s="80"/>
    </row>
    <row r="15" spans="1:17" ht="15" thickBot="1" x14ac:dyDescent="0.35">
      <c r="B15" s="79"/>
      <c r="C15" s="79"/>
      <c r="E15" s="79"/>
      <c r="F15" s="415" t="s">
        <v>356</v>
      </c>
      <c r="G15" s="416"/>
      <c r="H15" s="98"/>
      <c r="I15" s="35" t="s">
        <v>120</v>
      </c>
      <c r="J15" s="41">
        <f>G18</f>
        <v>9300000</v>
      </c>
    </row>
    <row r="16" spans="1:17" ht="15" thickTop="1" x14ac:dyDescent="0.3">
      <c r="B16" s="79"/>
      <c r="C16" s="79"/>
      <c r="D16" s="79"/>
      <c r="E16" s="79"/>
      <c r="F16" s="422" t="s">
        <v>434</v>
      </c>
      <c r="G16" s="422"/>
      <c r="H16" s="95"/>
      <c r="I16" s="128" t="s">
        <v>692</v>
      </c>
      <c r="J16" s="241">
        <f>SUM(G19:G22)</f>
        <v>3920000</v>
      </c>
    </row>
    <row r="17" spans="1:24" x14ac:dyDescent="0.3">
      <c r="B17" s="79"/>
      <c r="C17" s="79"/>
      <c r="D17" s="79"/>
      <c r="E17" s="79"/>
      <c r="F17" s="112" t="s">
        <v>40</v>
      </c>
      <c r="G17" s="84">
        <v>12000000</v>
      </c>
      <c r="H17" s="79"/>
      <c r="I17" s="35" t="s">
        <v>499</v>
      </c>
      <c r="J17" s="133">
        <f>J14-J15-J16</f>
        <v>-1220000</v>
      </c>
    </row>
    <row r="18" spans="1:24" x14ac:dyDescent="0.3">
      <c r="B18" s="79"/>
      <c r="C18" s="417" t="s">
        <v>128</v>
      </c>
      <c r="D18" s="418"/>
      <c r="E18" s="79"/>
      <c r="F18" s="111" t="s">
        <v>433</v>
      </c>
      <c r="G18" s="81">
        <v>9300000</v>
      </c>
      <c r="H18" s="98"/>
    </row>
    <row r="19" spans="1:24" x14ac:dyDescent="0.3">
      <c r="B19" s="79"/>
      <c r="C19" s="83" t="s">
        <v>364</v>
      </c>
      <c r="D19" s="107">
        <v>0.1</v>
      </c>
      <c r="E19" s="79"/>
      <c r="F19" s="91" t="s">
        <v>364</v>
      </c>
      <c r="G19" s="81">
        <v>2200000</v>
      </c>
      <c r="H19" s="95"/>
      <c r="I19" s="240" t="s">
        <v>747</v>
      </c>
      <c r="J19" s="239" t="s">
        <v>676</v>
      </c>
      <c r="K19" s="239" t="s">
        <v>746</v>
      </c>
      <c r="L19" s="239" t="s">
        <v>651</v>
      </c>
      <c r="M19" s="238" t="s">
        <v>745</v>
      </c>
      <c r="N19" s="238"/>
      <c r="O19" s="238"/>
      <c r="P19" s="238"/>
      <c r="Q19" s="238"/>
      <c r="R19" s="238"/>
      <c r="S19" s="238"/>
      <c r="T19" s="238"/>
      <c r="U19" s="238"/>
      <c r="V19" s="238"/>
      <c r="W19" s="238"/>
      <c r="X19" s="238"/>
    </row>
    <row r="20" spans="1:24" x14ac:dyDescent="0.3">
      <c r="B20" s="79"/>
      <c r="C20" s="83" t="s">
        <v>126</v>
      </c>
      <c r="D20" s="107">
        <v>0.03</v>
      </c>
      <c r="E20" s="79"/>
      <c r="F20" s="91" t="s">
        <v>126</v>
      </c>
      <c r="G20" s="81">
        <v>280000</v>
      </c>
      <c r="H20" s="95"/>
      <c r="I20" s="237" t="s">
        <v>315</v>
      </c>
      <c r="J20" s="232">
        <f>G18/G17</f>
        <v>0.77500000000000002</v>
      </c>
      <c r="K20" s="232">
        <f>C9</f>
        <v>0.7</v>
      </c>
      <c r="L20" s="232">
        <f>K20-J20</f>
        <v>-7.5000000000000067E-2</v>
      </c>
      <c r="M20" s="79" t="s">
        <v>744</v>
      </c>
    </row>
    <row r="21" spans="1:24" x14ac:dyDescent="0.3">
      <c r="B21" s="79"/>
      <c r="C21" s="83" t="s">
        <v>117</v>
      </c>
      <c r="D21" s="107">
        <v>0.1</v>
      </c>
      <c r="E21" s="79"/>
      <c r="F21" s="91" t="s">
        <v>117</v>
      </c>
      <c r="G21" s="81">
        <v>1200000</v>
      </c>
      <c r="H21" s="95"/>
      <c r="I21" s="237" t="s">
        <v>56</v>
      </c>
      <c r="J21" s="236">
        <f>G17-SUM(G18,G19:G22)</f>
        <v>-1220000</v>
      </c>
      <c r="K21" s="236">
        <f>G17*D23</f>
        <v>600000</v>
      </c>
      <c r="L21" s="236">
        <f>J21-K21</f>
        <v>-1820000</v>
      </c>
      <c r="M21" s="79" t="s">
        <v>743</v>
      </c>
    </row>
    <row r="22" spans="1:24" x14ac:dyDescent="0.3">
      <c r="B22" s="79"/>
      <c r="C22" s="83" t="s">
        <v>363</v>
      </c>
      <c r="D22" s="107">
        <v>0.02</v>
      </c>
      <c r="E22" s="79"/>
      <c r="F22" s="91" t="s">
        <v>363</v>
      </c>
      <c r="G22" s="81">
        <v>240000</v>
      </c>
      <c r="H22" s="95"/>
      <c r="I22" s="237" t="s">
        <v>742</v>
      </c>
      <c r="J22" s="236">
        <f>G20</f>
        <v>280000</v>
      </c>
      <c r="K22" s="236">
        <f>D20*G17</f>
        <v>360000</v>
      </c>
      <c r="L22" s="236">
        <f>K22-J22</f>
        <v>80000</v>
      </c>
      <c r="M22" s="79" t="s">
        <v>741</v>
      </c>
    </row>
    <row r="23" spans="1:24" x14ac:dyDescent="0.3">
      <c r="B23" s="79"/>
      <c r="C23" s="83" t="s">
        <v>56</v>
      </c>
      <c r="D23" s="107">
        <v>0.05</v>
      </c>
      <c r="E23" s="79"/>
      <c r="F23" s="79"/>
      <c r="G23" s="95"/>
      <c r="H23" s="95"/>
      <c r="I23" s="237" t="s">
        <v>117</v>
      </c>
      <c r="J23" s="236">
        <f>G21</f>
        <v>1200000</v>
      </c>
      <c r="K23" s="236">
        <f>D21*G17</f>
        <v>1200000</v>
      </c>
      <c r="L23" s="236">
        <f>K23-J23</f>
        <v>0</v>
      </c>
      <c r="M23" s="79" t="s">
        <v>740</v>
      </c>
    </row>
    <row r="24" spans="1:24" x14ac:dyDescent="0.3">
      <c r="B24" s="79"/>
      <c r="C24" s="79"/>
      <c r="D24" s="102"/>
      <c r="E24" s="79"/>
      <c r="F24" s="79"/>
      <c r="G24" s="95"/>
      <c r="H24" s="95"/>
      <c r="I24" s="237" t="s">
        <v>53</v>
      </c>
      <c r="J24" s="236">
        <f>G22</f>
        <v>240000</v>
      </c>
      <c r="K24" s="236">
        <f>D22*G17</f>
        <v>240000</v>
      </c>
      <c r="L24" s="236">
        <f>K24-J24</f>
        <v>0</v>
      </c>
      <c r="M24" s="79"/>
      <c r="N24" s="79"/>
      <c r="O24" s="79"/>
      <c r="P24" s="79"/>
      <c r="Q24" s="80"/>
    </row>
    <row r="25" spans="1:24" x14ac:dyDescent="0.3">
      <c r="B25" s="79"/>
      <c r="C25" s="79"/>
      <c r="D25" s="102"/>
      <c r="E25" s="79"/>
      <c r="F25" s="79"/>
      <c r="G25" s="95"/>
      <c r="H25" s="95"/>
      <c r="I25" s="237" t="s">
        <v>739</v>
      </c>
      <c r="J25" s="236">
        <f>G19</f>
        <v>2200000</v>
      </c>
      <c r="K25" s="236">
        <f>D19*G17</f>
        <v>1200000</v>
      </c>
      <c r="L25" s="236">
        <f>K25-J25</f>
        <v>-1000000</v>
      </c>
      <c r="M25" s="79" t="s">
        <v>738</v>
      </c>
      <c r="N25" s="79"/>
      <c r="O25" s="79"/>
      <c r="P25" s="79"/>
      <c r="Q25" s="80"/>
    </row>
    <row r="26" spans="1:24" x14ac:dyDescent="0.3">
      <c r="B26" s="79"/>
      <c r="C26" s="79"/>
      <c r="D26" s="102"/>
      <c r="E26" s="79"/>
      <c r="F26" s="79"/>
      <c r="G26" s="95"/>
      <c r="H26" s="95"/>
      <c r="I26" s="237" t="s">
        <v>39</v>
      </c>
      <c r="J26" s="236">
        <f>G18</f>
        <v>9300000</v>
      </c>
      <c r="K26" s="236">
        <f>(1-SUM(D19:D23))*G17</f>
        <v>8400000</v>
      </c>
      <c r="L26" s="236">
        <f>K26-J26</f>
        <v>-900000</v>
      </c>
      <c r="M26" s="79" t="s">
        <v>737</v>
      </c>
      <c r="N26" s="79"/>
      <c r="O26" s="79"/>
      <c r="P26" s="79"/>
      <c r="Q26" s="80"/>
    </row>
    <row r="27" spans="1:24" x14ac:dyDescent="0.3">
      <c r="B27" s="79"/>
      <c r="C27" s="79"/>
      <c r="D27" s="102"/>
      <c r="E27" s="79"/>
      <c r="F27" s="79"/>
      <c r="G27" s="95"/>
      <c r="H27" s="95"/>
      <c r="I27" s="79"/>
      <c r="J27" s="79"/>
      <c r="K27" s="79"/>
      <c r="L27" s="79"/>
      <c r="M27" s="79"/>
      <c r="N27" s="79"/>
      <c r="O27" s="79"/>
      <c r="P27" s="79"/>
      <c r="Q27" s="80"/>
    </row>
    <row r="28" spans="1:24" s="2" customFormat="1" x14ac:dyDescent="0.3">
      <c r="A28" s="2" t="s">
        <v>432</v>
      </c>
      <c r="B28" s="109"/>
      <c r="F28" s="109"/>
      <c r="G28" s="110"/>
      <c r="H28" s="110"/>
      <c r="I28" s="109"/>
      <c r="J28" s="109"/>
      <c r="K28" s="109"/>
      <c r="L28" s="109"/>
      <c r="M28" s="109"/>
      <c r="N28" s="109"/>
      <c r="O28" s="109"/>
      <c r="P28" s="109"/>
      <c r="Q28" s="108"/>
    </row>
    <row r="29" spans="1:24" x14ac:dyDescent="0.3">
      <c r="B29" s="79"/>
      <c r="D29" s="102"/>
      <c r="F29" s="79"/>
      <c r="G29" s="95"/>
      <c r="H29" s="95"/>
      <c r="I29" s="79"/>
      <c r="J29" s="79"/>
      <c r="K29" s="79"/>
      <c r="L29" s="79"/>
      <c r="M29" s="79"/>
      <c r="N29" s="79"/>
      <c r="O29" s="79"/>
      <c r="P29" s="79"/>
      <c r="Q29" s="80"/>
    </row>
    <row r="30" spans="1:24" x14ac:dyDescent="0.3">
      <c r="B30" s="79"/>
      <c r="C30" s="79" t="s">
        <v>431</v>
      </c>
      <c r="D30" s="102"/>
      <c r="F30" s="79"/>
      <c r="G30" s="95"/>
      <c r="H30" s="95"/>
      <c r="I30" s="79"/>
      <c r="J30" s="79"/>
      <c r="K30" s="79"/>
      <c r="L30" s="79"/>
      <c r="M30" s="79"/>
      <c r="N30" s="79"/>
      <c r="O30" s="79"/>
      <c r="P30" s="79"/>
      <c r="Q30" s="80"/>
    </row>
    <row r="31" spans="1:24" x14ac:dyDescent="0.3">
      <c r="B31" s="79"/>
      <c r="C31" s="79" t="s">
        <v>430</v>
      </c>
      <c r="D31" s="102"/>
      <c r="F31" s="79"/>
      <c r="G31" s="95"/>
      <c r="H31" s="95"/>
      <c r="I31" s="79"/>
      <c r="J31" s="79"/>
      <c r="K31" s="79"/>
      <c r="L31" s="79"/>
      <c r="M31" s="79"/>
      <c r="N31" s="79"/>
      <c r="O31" s="79"/>
      <c r="P31" s="79"/>
      <c r="Q31" s="80"/>
    </row>
    <row r="32" spans="1:24" x14ac:dyDescent="0.3">
      <c r="B32" s="79"/>
      <c r="C32" s="79"/>
      <c r="D32" s="102"/>
      <c r="F32" s="79"/>
      <c r="G32" s="95"/>
      <c r="H32" s="95"/>
      <c r="I32" s="79"/>
      <c r="J32" s="79"/>
      <c r="K32" s="79"/>
      <c r="L32" s="79"/>
      <c r="M32" s="79"/>
      <c r="N32" s="79"/>
      <c r="O32" s="79"/>
      <c r="P32" s="79"/>
      <c r="Q32" s="80"/>
    </row>
    <row r="33" spans="2:17" x14ac:dyDescent="0.3">
      <c r="B33" s="79"/>
      <c r="C33" s="104" t="s">
        <v>429</v>
      </c>
      <c r="D33" s="89">
        <v>17</v>
      </c>
      <c r="F33" s="79"/>
      <c r="G33" s="95"/>
      <c r="H33" s="95"/>
      <c r="I33" s="79"/>
      <c r="J33" s="79"/>
      <c r="K33" s="79"/>
      <c r="L33" s="79"/>
      <c r="M33" s="79"/>
      <c r="N33" s="79"/>
      <c r="O33" s="79"/>
      <c r="P33" s="79"/>
      <c r="Q33" s="80"/>
    </row>
    <row r="34" spans="2:17" x14ac:dyDescent="0.3">
      <c r="B34" s="79"/>
      <c r="C34" s="106"/>
      <c r="D34" s="79"/>
      <c r="F34" s="79"/>
      <c r="G34" s="95"/>
      <c r="H34" s="95"/>
      <c r="I34" s="79"/>
      <c r="J34" s="79"/>
      <c r="K34" s="79"/>
      <c r="L34" s="79"/>
      <c r="M34" s="79"/>
      <c r="N34" s="79"/>
      <c r="O34" s="79"/>
      <c r="P34" s="79"/>
      <c r="Q34" s="80"/>
    </row>
    <row r="35" spans="2:17" x14ac:dyDescent="0.3">
      <c r="B35" s="79"/>
      <c r="C35" s="421" t="s">
        <v>428</v>
      </c>
      <c r="D35" s="421"/>
      <c r="F35" s="79"/>
      <c r="G35" s="95"/>
      <c r="H35" s="95"/>
      <c r="I35" s="79"/>
      <c r="J35" s="79"/>
      <c r="K35" s="79"/>
      <c r="L35" s="79"/>
      <c r="M35" s="79"/>
      <c r="N35" s="79"/>
      <c r="O35" s="79"/>
      <c r="P35" s="79"/>
      <c r="Q35" s="80"/>
    </row>
    <row r="36" spans="2:17" x14ac:dyDescent="0.3">
      <c r="B36" s="79"/>
      <c r="C36" s="104" t="s">
        <v>427</v>
      </c>
      <c r="D36" s="89">
        <v>7</v>
      </c>
      <c r="E36" s="79"/>
      <c r="F36" s="79"/>
      <c r="G36" s="95"/>
      <c r="H36" s="95"/>
      <c r="I36" s="79"/>
      <c r="J36" s="79"/>
      <c r="K36" s="79"/>
      <c r="L36" s="79"/>
      <c r="M36" s="79"/>
      <c r="N36" s="79"/>
      <c r="O36" s="79"/>
      <c r="P36" s="79"/>
      <c r="Q36" s="80"/>
    </row>
    <row r="37" spans="2:17" x14ac:dyDescent="0.3">
      <c r="B37" s="79"/>
      <c r="C37" s="104" t="s">
        <v>426</v>
      </c>
      <c r="D37" s="89">
        <v>3</v>
      </c>
      <c r="E37" s="79"/>
      <c r="F37" s="79"/>
      <c r="G37" s="95"/>
      <c r="H37" s="95"/>
      <c r="I37" s="79"/>
      <c r="J37" s="79"/>
      <c r="K37" s="79"/>
      <c r="L37" s="79"/>
      <c r="M37" s="79"/>
      <c r="N37" s="79"/>
      <c r="O37" s="79"/>
      <c r="P37" s="79"/>
      <c r="Q37" s="80"/>
    </row>
    <row r="38" spans="2:17" x14ac:dyDescent="0.3">
      <c r="B38" s="79"/>
      <c r="C38" s="104" t="s">
        <v>425</v>
      </c>
      <c r="D38" s="89">
        <v>5</v>
      </c>
      <c r="E38" s="79"/>
      <c r="F38" s="79"/>
      <c r="G38" s="95"/>
      <c r="H38" s="95"/>
      <c r="I38" s="79"/>
      <c r="J38" s="79"/>
      <c r="K38" s="79"/>
      <c r="L38" s="79"/>
      <c r="M38" s="79"/>
      <c r="N38" s="79"/>
      <c r="O38" s="79"/>
      <c r="P38" s="79"/>
      <c r="Q38" s="80"/>
    </row>
    <row r="39" spans="2:17" x14ac:dyDescent="0.3">
      <c r="B39" s="79"/>
      <c r="C39" s="102"/>
      <c r="D39" s="79"/>
      <c r="E39" s="79"/>
      <c r="F39" s="79"/>
      <c r="G39" s="95"/>
      <c r="H39" s="95"/>
      <c r="I39" s="79"/>
      <c r="J39" s="79"/>
      <c r="K39" s="79"/>
      <c r="L39" s="79"/>
      <c r="M39" s="79"/>
      <c r="N39" s="79"/>
      <c r="O39" s="79"/>
      <c r="P39" s="79"/>
      <c r="Q39" s="80"/>
    </row>
    <row r="40" spans="2:17" x14ac:dyDescent="0.3">
      <c r="B40" s="79"/>
      <c r="C40" s="107" t="s">
        <v>424</v>
      </c>
      <c r="D40" s="103">
        <v>0.8</v>
      </c>
      <c r="F40" s="95"/>
      <c r="H40" s="95"/>
      <c r="I40" s="79"/>
      <c r="J40" s="79"/>
      <c r="K40" s="79"/>
      <c r="L40" s="79"/>
      <c r="M40" s="79"/>
      <c r="N40" s="79"/>
      <c r="O40" s="79"/>
      <c r="P40" s="79"/>
      <c r="Q40" s="80"/>
    </row>
    <row r="41" spans="2:17" x14ac:dyDescent="0.3">
      <c r="B41" s="79"/>
      <c r="F41" s="95"/>
      <c r="H41" s="95"/>
      <c r="I41" s="79"/>
      <c r="J41" s="79"/>
      <c r="K41" s="79"/>
      <c r="L41" s="79"/>
      <c r="M41" s="79"/>
      <c r="N41" s="79"/>
      <c r="O41" s="79"/>
      <c r="P41" s="79"/>
      <c r="Q41" s="80"/>
    </row>
    <row r="42" spans="2:17" x14ac:dyDescent="0.3">
      <c r="B42" s="79"/>
      <c r="C42" s="106" t="s">
        <v>423</v>
      </c>
      <c r="F42" s="95"/>
      <c r="H42" s="95"/>
      <c r="I42" s="79"/>
      <c r="J42" s="79"/>
      <c r="K42" s="79"/>
      <c r="L42" s="79"/>
      <c r="M42" s="79"/>
      <c r="N42" s="79"/>
      <c r="O42" s="79"/>
      <c r="P42" s="79"/>
      <c r="Q42" s="80"/>
    </row>
    <row r="43" spans="2:17" x14ac:dyDescent="0.3">
      <c r="B43" s="79"/>
      <c r="C43" s="106" t="s">
        <v>422</v>
      </c>
      <c r="F43" s="95"/>
      <c r="H43" s="95"/>
      <c r="I43" s="79"/>
      <c r="J43" s="79"/>
      <c r="K43" s="79"/>
      <c r="L43" s="79"/>
      <c r="M43" s="79"/>
      <c r="N43" s="79"/>
      <c r="O43" s="79"/>
      <c r="P43" s="79"/>
      <c r="Q43" s="80"/>
    </row>
    <row r="44" spans="2:17" x14ac:dyDescent="0.3">
      <c r="B44" s="79"/>
      <c r="F44" s="95"/>
      <c r="H44" s="95"/>
      <c r="I44" s="79"/>
      <c r="J44" s="79"/>
      <c r="K44" s="79"/>
      <c r="L44" s="79"/>
      <c r="M44" s="79"/>
      <c r="N44" s="79"/>
      <c r="O44" s="79"/>
      <c r="P44" s="79"/>
      <c r="Q44" s="80"/>
    </row>
    <row r="45" spans="2:17" ht="32.700000000000003" customHeight="1" x14ac:dyDescent="0.3">
      <c r="B45" s="79"/>
      <c r="C45" s="102"/>
      <c r="F45" s="105" t="s">
        <v>421</v>
      </c>
      <c r="G45" s="105" t="s">
        <v>420</v>
      </c>
      <c r="H45" s="95"/>
      <c r="I45" s="79"/>
      <c r="J45" s="79"/>
      <c r="K45" s="79"/>
      <c r="L45" s="79"/>
      <c r="M45" s="79"/>
      <c r="N45" s="79"/>
      <c r="O45" s="79"/>
      <c r="P45" s="79"/>
      <c r="Q45" s="80"/>
    </row>
    <row r="46" spans="2:17" x14ac:dyDescent="0.3">
      <c r="B46" s="79"/>
      <c r="C46" s="420" t="s">
        <v>419</v>
      </c>
      <c r="D46" s="420"/>
      <c r="E46" s="420"/>
      <c r="F46" s="103">
        <v>0</v>
      </c>
      <c r="G46" s="103">
        <v>1</v>
      </c>
      <c r="H46" s="95"/>
      <c r="I46" s="79"/>
      <c r="J46" s="79"/>
      <c r="K46" s="79"/>
      <c r="L46" s="79"/>
      <c r="M46" s="79"/>
      <c r="N46" s="79"/>
      <c r="O46" s="79"/>
      <c r="P46" s="80"/>
    </row>
    <row r="47" spans="2:17" x14ac:dyDescent="0.3">
      <c r="B47" s="79"/>
      <c r="C47" s="420" t="s">
        <v>128</v>
      </c>
      <c r="D47" s="420"/>
      <c r="E47" s="420"/>
      <c r="F47" s="103">
        <v>0</v>
      </c>
      <c r="G47" s="103">
        <v>1</v>
      </c>
      <c r="H47" s="95"/>
      <c r="I47" s="93"/>
      <c r="J47" s="93"/>
      <c r="K47" s="93"/>
      <c r="L47" s="79"/>
      <c r="O47" s="79"/>
      <c r="P47" s="80"/>
    </row>
    <row r="48" spans="2:17" x14ac:dyDescent="0.3">
      <c r="B48" s="79"/>
      <c r="C48" s="420" t="s">
        <v>41</v>
      </c>
      <c r="D48" s="420"/>
      <c r="E48" s="420"/>
      <c r="F48" s="103">
        <v>1</v>
      </c>
      <c r="G48" s="103">
        <v>0</v>
      </c>
      <c r="H48" s="95"/>
      <c r="I48" s="80" t="s">
        <v>542</v>
      </c>
      <c r="J48" s="222">
        <f>C9</f>
        <v>0.7</v>
      </c>
      <c r="K48" s="184"/>
      <c r="L48" s="79"/>
      <c r="O48" s="79"/>
    </row>
    <row r="49" spans="2:32" x14ac:dyDescent="0.3">
      <c r="B49" s="79"/>
      <c r="C49" s="420" t="s">
        <v>49</v>
      </c>
      <c r="D49" s="420"/>
      <c r="E49" s="420"/>
      <c r="F49" s="103">
        <v>1</v>
      </c>
      <c r="G49" s="103">
        <v>0</v>
      </c>
      <c r="H49" s="95"/>
      <c r="I49" s="80" t="s">
        <v>546</v>
      </c>
      <c r="J49" s="222">
        <f>G18/G17</f>
        <v>0.77500000000000002</v>
      </c>
      <c r="K49" s="184"/>
      <c r="L49" s="79"/>
      <c r="O49" s="79"/>
    </row>
    <row r="50" spans="2:32" x14ac:dyDescent="0.3">
      <c r="B50" s="79"/>
      <c r="C50" s="420" t="s">
        <v>113</v>
      </c>
      <c r="D50" s="420"/>
      <c r="E50" s="420"/>
      <c r="F50" s="103">
        <v>1</v>
      </c>
      <c r="G50" s="103">
        <v>0</v>
      </c>
      <c r="H50" s="95"/>
      <c r="I50" s="80"/>
      <c r="J50" s="80"/>
      <c r="K50" s="184"/>
      <c r="L50" s="79"/>
      <c r="O50" s="79"/>
      <c r="P50" s="214" t="s">
        <v>695</v>
      </c>
    </row>
    <row r="51" spans="2:32" x14ac:dyDescent="0.3">
      <c r="B51" s="79"/>
      <c r="C51" s="420" t="s">
        <v>100</v>
      </c>
      <c r="D51" s="420"/>
      <c r="E51" s="420"/>
      <c r="F51" s="103">
        <v>0.5</v>
      </c>
      <c r="G51" s="103">
        <v>0.5</v>
      </c>
      <c r="H51" s="95"/>
      <c r="I51" s="80"/>
      <c r="J51" s="108" t="s">
        <v>736</v>
      </c>
      <c r="K51" s="184"/>
      <c r="L51" s="79"/>
      <c r="O51" s="79"/>
      <c r="P51" s="213" t="s">
        <v>693</v>
      </c>
    </row>
    <row r="52" spans="2:32" x14ac:dyDescent="0.3">
      <c r="B52" s="79"/>
      <c r="C52" s="420" t="s">
        <v>418</v>
      </c>
      <c r="D52" s="420"/>
      <c r="E52" s="420"/>
      <c r="F52" s="103">
        <v>0.5</v>
      </c>
      <c r="G52" s="103">
        <v>0.5</v>
      </c>
      <c r="H52" s="95"/>
      <c r="I52" s="80" t="s">
        <v>735</v>
      </c>
      <c r="J52" s="235">
        <f>J49/J48</f>
        <v>1.1071428571428572</v>
      </c>
      <c r="K52" s="184"/>
      <c r="L52" s="79"/>
      <c r="O52" s="79"/>
      <c r="P52" s="212">
        <f>J52</f>
        <v>1.1071428571428572</v>
      </c>
      <c r="Q52" s="8" t="s">
        <v>734</v>
      </c>
      <c r="R52" s="8"/>
      <c r="S52" s="8"/>
      <c r="T52" s="8"/>
      <c r="U52" s="8"/>
      <c r="V52" s="8"/>
      <c r="W52" s="8"/>
      <c r="X52" s="8"/>
      <c r="Y52" s="8"/>
      <c r="Z52" s="8"/>
      <c r="AA52" s="8"/>
    </row>
    <row r="53" spans="2:32" ht="15" thickBot="1" x14ac:dyDescent="0.35">
      <c r="B53" s="79"/>
      <c r="C53" s="79"/>
      <c r="D53" s="102"/>
      <c r="E53" s="79"/>
      <c r="F53" s="79"/>
      <c r="G53" s="95"/>
      <c r="H53" s="95"/>
      <c r="I53" s="80" t="s">
        <v>128</v>
      </c>
      <c r="J53" s="235">
        <f>1+(D23+SUM(G19:G22)/G17)-SUM(D19:D23)</f>
        <v>1.0766666666666667</v>
      </c>
      <c r="K53" s="184"/>
      <c r="L53" s="79"/>
      <c r="M53" s="79"/>
      <c r="N53" s="79"/>
      <c r="O53" s="79"/>
      <c r="P53" s="209">
        <f>J53</f>
        <v>1.0766666666666667</v>
      </c>
      <c r="Q53" s="8" t="s">
        <v>733</v>
      </c>
      <c r="R53" s="8"/>
      <c r="S53" s="8"/>
      <c r="T53" s="8"/>
      <c r="U53" s="8"/>
      <c r="V53" s="8"/>
      <c r="W53" s="8"/>
      <c r="X53" s="8"/>
      <c r="Y53" s="8"/>
      <c r="Z53" s="8"/>
      <c r="AA53" s="8"/>
      <c r="AB53" s="8"/>
      <c r="AC53" s="8"/>
      <c r="AD53" s="8"/>
      <c r="AE53" s="8"/>
      <c r="AF53" s="8"/>
    </row>
    <row r="54" spans="2:32" ht="15" thickBot="1" x14ac:dyDescent="0.35">
      <c r="B54" s="79"/>
      <c r="C54" s="415" t="s">
        <v>417</v>
      </c>
      <c r="D54" s="416"/>
      <c r="E54" s="79"/>
      <c r="F54" s="79"/>
      <c r="G54" s="95"/>
      <c r="H54" s="95"/>
      <c r="I54" s="79"/>
      <c r="J54" s="79"/>
      <c r="K54" s="79"/>
      <c r="L54" s="79"/>
      <c r="M54" s="79"/>
      <c r="N54" s="79"/>
      <c r="O54" s="79"/>
      <c r="P54" s="213"/>
    </row>
    <row r="55" spans="2:32" ht="15.6" thickTop="1" thickBot="1" x14ac:dyDescent="0.35">
      <c r="B55" s="79"/>
      <c r="C55" s="79"/>
      <c r="D55" s="79"/>
      <c r="E55" s="79"/>
      <c r="F55" s="415" t="s">
        <v>356</v>
      </c>
      <c r="G55" s="416"/>
      <c r="H55" s="79"/>
      <c r="I55" s="79"/>
      <c r="J55" s="79"/>
      <c r="K55" s="79"/>
      <c r="L55" s="79"/>
      <c r="M55" s="79"/>
      <c r="N55" s="79"/>
      <c r="O55" s="79"/>
      <c r="P55" s="80"/>
    </row>
    <row r="56" spans="2:32" ht="15" thickTop="1" x14ac:dyDescent="0.3">
      <c r="B56" s="79"/>
      <c r="C56" s="417" t="s">
        <v>113</v>
      </c>
      <c r="D56" s="418"/>
      <c r="E56" s="79"/>
      <c r="F56" s="79"/>
      <c r="G56" s="79"/>
      <c r="H56" s="79"/>
      <c r="I56" s="79"/>
      <c r="J56" s="79"/>
      <c r="K56" s="79"/>
      <c r="L56" s="89" t="s">
        <v>680</v>
      </c>
      <c r="M56" s="103">
        <f>G50</f>
        <v>0</v>
      </c>
      <c r="N56" s="79"/>
      <c r="O56" s="79"/>
      <c r="P56" s="214" t="s">
        <v>113</v>
      </c>
    </row>
    <row r="57" spans="2:32" x14ac:dyDescent="0.3">
      <c r="B57" s="79"/>
      <c r="C57" s="83" t="s">
        <v>362</v>
      </c>
      <c r="D57" s="89" t="s">
        <v>123</v>
      </c>
      <c r="E57" s="79"/>
      <c r="F57" s="85" t="s">
        <v>40</v>
      </c>
      <c r="G57" s="85" t="s">
        <v>39</v>
      </c>
      <c r="H57" s="98"/>
      <c r="I57" s="85" t="s">
        <v>677</v>
      </c>
      <c r="J57" s="85" t="s">
        <v>546</v>
      </c>
      <c r="K57" s="85" t="s">
        <v>674</v>
      </c>
      <c r="L57" s="85" t="s">
        <v>686</v>
      </c>
      <c r="M57" s="85" t="s">
        <v>685</v>
      </c>
      <c r="N57" s="85" t="s">
        <v>684</v>
      </c>
      <c r="O57" s="79"/>
      <c r="P57" s="213" t="s">
        <v>123</v>
      </c>
    </row>
    <row r="58" spans="2:32" x14ac:dyDescent="0.3">
      <c r="B58" s="79"/>
      <c r="C58" s="88" t="s">
        <v>112</v>
      </c>
      <c r="D58" s="96">
        <v>1.1000000000000001</v>
      </c>
      <c r="E58" s="79"/>
      <c r="F58" s="84">
        <v>1000000</v>
      </c>
      <c r="G58" s="84">
        <v>1000000</v>
      </c>
      <c r="H58" s="97"/>
      <c r="I58" s="211">
        <f>D58</f>
        <v>1.1000000000000001</v>
      </c>
      <c r="J58" s="210">
        <f>G58/F58</f>
        <v>1</v>
      </c>
      <c r="K58" s="87">
        <f>J58/J49</f>
        <v>1.2903225806451613</v>
      </c>
      <c r="L58" s="87">
        <f>I58</f>
        <v>1.1000000000000001</v>
      </c>
      <c r="M58" s="87">
        <f>K58*I58</f>
        <v>1.4193548387096775</v>
      </c>
      <c r="N58" s="87">
        <f>M56*M58+(1-M56)*L58</f>
        <v>1.1000000000000001</v>
      </c>
      <c r="O58" s="79"/>
      <c r="P58" s="212"/>
    </row>
    <row r="59" spans="2:32" x14ac:dyDescent="0.3">
      <c r="B59" s="79"/>
      <c r="C59" s="88" t="s">
        <v>110</v>
      </c>
      <c r="D59" s="96">
        <v>1.05</v>
      </c>
      <c r="E59" s="79"/>
      <c r="F59" s="84">
        <v>4000000</v>
      </c>
      <c r="G59" s="84">
        <v>3500000</v>
      </c>
      <c r="H59" s="97"/>
      <c r="I59" s="211">
        <f>D59</f>
        <v>1.05</v>
      </c>
      <c r="J59" s="210">
        <f>G59/F59</f>
        <v>0.875</v>
      </c>
      <c r="K59" s="87">
        <f>J59/J49</f>
        <v>1.129032258064516</v>
      </c>
      <c r="L59" s="87">
        <f>I59</f>
        <v>1.05</v>
      </c>
      <c r="M59" s="87">
        <f>K59*I59</f>
        <v>1.1854838709677418</v>
      </c>
      <c r="N59" s="234">
        <f>M56*M59+(1-M56)*L59</f>
        <v>1.05</v>
      </c>
      <c r="O59" s="79"/>
      <c r="P59" s="209">
        <f>N59/I59</f>
        <v>1</v>
      </c>
      <c r="Q59" s="8" t="s">
        <v>730</v>
      </c>
      <c r="R59" s="8"/>
      <c r="S59" s="8"/>
      <c r="T59" s="8"/>
      <c r="U59" s="8"/>
      <c r="V59" s="8"/>
      <c r="W59" s="8"/>
      <c r="X59" s="8"/>
      <c r="Y59" s="8"/>
      <c r="Z59" s="8"/>
      <c r="AA59" s="8"/>
    </row>
    <row r="60" spans="2:32" x14ac:dyDescent="0.3">
      <c r="B60" s="79"/>
      <c r="C60" s="83" t="s">
        <v>108</v>
      </c>
      <c r="D60" s="96">
        <v>1</v>
      </c>
      <c r="E60" s="79"/>
      <c r="F60" s="84">
        <v>2500000</v>
      </c>
      <c r="G60" s="84">
        <v>1800000</v>
      </c>
      <c r="H60" s="97"/>
      <c r="I60" s="211">
        <f>D60</f>
        <v>1</v>
      </c>
      <c r="J60" s="210">
        <f>G60/F60</f>
        <v>0.72</v>
      </c>
      <c r="K60" s="87">
        <f>J60/J49</f>
        <v>0.92903225806451606</v>
      </c>
      <c r="L60" s="87">
        <f>I60</f>
        <v>1</v>
      </c>
      <c r="M60" s="87">
        <f>K60*I60</f>
        <v>0.92903225806451606</v>
      </c>
      <c r="N60" s="87">
        <f>M56*M60+(1-M56)*L60</f>
        <v>1</v>
      </c>
      <c r="O60" s="79"/>
      <c r="P60" s="209"/>
    </row>
    <row r="61" spans="2:32" x14ac:dyDescent="0.3">
      <c r="B61" s="79"/>
      <c r="C61" s="83" t="s">
        <v>106</v>
      </c>
      <c r="D61" s="96">
        <v>0.95</v>
      </c>
      <c r="E61" s="79"/>
      <c r="F61" s="84">
        <v>1500000</v>
      </c>
      <c r="G61" s="84">
        <v>1000000</v>
      </c>
      <c r="H61" s="97"/>
      <c r="I61" s="211">
        <f>D61</f>
        <v>0.95</v>
      </c>
      <c r="J61" s="210">
        <f>G61/F61</f>
        <v>0.66666666666666663</v>
      </c>
      <c r="K61" s="87">
        <f>J61/J49</f>
        <v>0.86021505376344076</v>
      </c>
      <c r="L61" s="87">
        <f>I61</f>
        <v>0.95</v>
      </c>
      <c r="M61" s="87">
        <f>K61*I61</f>
        <v>0.81720430107526865</v>
      </c>
      <c r="N61" s="87">
        <f>M56*M61+(1-M56)*L61</f>
        <v>0.95</v>
      </c>
      <c r="O61" s="79"/>
      <c r="P61" s="209"/>
    </row>
    <row r="62" spans="2:32" x14ac:dyDescent="0.3">
      <c r="B62" s="79"/>
      <c r="C62" s="83" t="s">
        <v>104</v>
      </c>
      <c r="D62" s="96">
        <v>0.9</v>
      </c>
      <c r="E62" s="79"/>
      <c r="F62" s="84">
        <v>3000000</v>
      </c>
      <c r="G62" s="84">
        <v>2000000</v>
      </c>
      <c r="H62" s="97"/>
      <c r="I62" s="208">
        <f>D62</f>
        <v>0.9</v>
      </c>
      <c r="J62" s="207">
        <f>G62/F62</f>
        <v>0.66666666666666663</v>
      </c>
      <c r="K62" s="206">
        <f>J62/J49</f>
        <v>0.86021505376344076</v>
      </c>
      <c r="L62" s="206">
        <f>I62</f>
        <v>0.9</v>
      </c>
      <c r="M62" s="206">
        <f>K62*I62</f>
        <v>0.77419354838709675</v>
      </c>
      <c r="N62" s="206">
        <f>M56*M62+(1-M56)*L62</f>
        <v>0.9</v>
      </c>
      <c r="O62" s="79"/>
      <c r="P62" s="205"/>
    </row>
    <row r="63" spans="2:32" x14ac:dyDescent="0.3">
      <c r="B63" s="79"/>
      <c r="C63" s="79"/>
      <c r="D63" s="79"/>
      <c r="E63" s="79"/>
      <c r="I63" s="79"/>
      <c r="J63" s="79"/>
      <c r="K63" s="79"/>
      <c r="L63" s="79"/>
      <c r="M63" s="79"/>
      <c r="N63" s="79"/>
      <c r="O63" s="79"/>
      <c r="P63" s="204"/>
    </row>
    <row r="64" spans="2:32" x14ac:dyDescent="0.3">
      <c r="B64" s="79"/>
      <c r="C64" s="417" t="s">
        <v>100</v>
      </c>
      <c r="D64" s="418"/>
      <c r="E64" s="79"/>
      <c r="F64" s="79"/>
      <c r="G64" s="79"/>
      <c r="H64" s="79"/>
      <c r="I64" s="79"/>
      <c r="J64" s="79"/>
      <c r="K64" s="79"/>
      <c r="L64" s="89" t="s">
        <v>680</v>
      </c>
      <c r="M64" s="103">
        <f>G51</f>
        <v>0.5</v>
      </c>
      <c r="N64" s="79"/>
      <c r="O64" s="79"/>
      <c r="P64" s="214" t="s">
        <v>732</v>
      </c>
    </row>
    <row r="65" spans="2:27" x14ac:dyDescent="0.3">
      <c r="B65" s="79"/>
      <c r="C65" s="83" t="s">
        <v>100</v>
      </c>
      <c r="D65" s="89" t="s">
        <v>123</v>
      </c>
      <c r="E65" s="79"/>
      <c r="F65" s="85" t="s">
        <v>40</v>
      </c>
      <c r="G65" s="85" t="s">
        <v>39</v>
      </c>
      <c r="H65" s="98"/>
      <c r="I65" s="85" t="s">
        <v>677</v>
      </c>
      <c r="J65" s="85" t="s">
        <v>546</v>
      </c>
      <c r="K65" s="85" t="s">
        <v>674</v>
      </c>
      <c r="L65" s="85" t="s">
        <v>686</v>
      </c>
      <c r="M65" s="85" t="s">
        <v>685</v>
      </c>
      <c r="N65" s="85" t="s">
        <v>684</v>
      </c>
      <c r="O65" s="79"/>
      <c r="P65" s="213" t="s">
        <v>123</v>
      </c>
    </row>
    <row r="66" spans="2:27" x14ac:dyDescent="0.3">
      <c r="B66" s="79"/>
      <c r="C66" s="83" t="s">
        <v>416</v>
      </c>
      <c r="D66" s="99">
        <v>1.5</v>
      </c>
      <c r="E66" s="79"/>
      <c r="F66" s="84">
        <v>500000</v>
      </c>
      <c r="G66" s="84">
        <v>300000</v>
      </c>
      <c r="H66" s="97"/>
      <c r="I66" s="211">
        <f>D66</f>
        <v>1.5</v>
      </c>
      <c r="J66" s="210">
        <f>G66/F66</f>
        <v>0.6</v>
      </c>
      <c r="K66" s="87">
        <f>J66/J49</f>
        <v>0.77419354838709675</v>
      </c>
      <c r="L66" s="87">
        <f>I66</f>
        <v>1.5</v>
      </c>
      <c r="M66" s="87">
        <f>K66*I66</f>
        <v>1.161290322580645</v>
      </c>
      <c r="N66" s="87">
        <f>$M$64*M66+(1-$M$64)*L66</f>
        <v>1.3306451612903225</v>
      </c>
      <c r="O66" s="79"/>
      <c r="P66" s="212"/>
    </row>
    <row r="67" spans="2:27" x14ac:dyDescent="0.3">
      <c r="B67" s="79"/>
      <c r="C67" s="83" t="s">
        <v>415</v>
      </c>
      <c r="D67" s="99">
        <v>0.8</v>
      </c>
      <c r="E67" s="79"/>
      <c r="F67" s="81">
        <v>1500000</v>
      </c>
      <c r="G67" s="81">
        <v>700000</v>
      </c>
      <c r="H67" s="95"/>
      <c r="I67" s="211">
        <f>D67</f>
        <v>0.8</v>
      </c>
      <c r="J67" s="210">
        <f>G67/F67</f>
        <v>0.46666666666666667</v>
      </c>
      <c r="K67" s="87">
        <f>J67/J49</f>
        <v>0.60215053763440862</v>
      </c>
      <c r="L67" s="87">
        <f>I67</f>
        <v>0.8</v>
      </c>
      <c r="M67" s="87">
        <f>K67*I67</f>
        <v>0.48172043010752691</v>
      </c>
      <c r="N67" s="87">
        <f>$M$64*M67+(1-$M$64)*L67</f>
        <v>0.64086021505376345</v>
      </c>
      <c r="O67" s="79"/>
      <c r="P67" s="209"/>
    </row>
    <row r="68" spans="2:27" x14ac:dyDescent="0.3">
      <c r="B68" s="79"/>
      <c r="C68" s="83" t="s">
        <v>414</v>
      </c>
      <c r="D68" s="99">
        <v>0.9</v>
      </c>
      <c r="E68" s="79"/>
      <c r="F68" s="81">
        <v>1500000</v>
      </c>
      <c r="G68" s="81">
        <v>1000000</v>
      </c>
      <c r="H68" s="95"/>
      <c r="I68" s="211">
        <f>D68</f>
        <v>0.9</v>
      </c>
      <c r="J68" s="210">
        <f>G68/F68</f>
        <v>0.66666666666666663</v>
      </c>
      <c r="K68" s="87">
        <f>J68/J49</f>
        <v>0.86021505376344076</v>
      </c>
      <c r="L68" s="87">
        <f>I68</f>
        <v>0.9</v>
      </c>
      <c r="M68" s="87">
        <f>K68*I68</f>
        <v>0.77419354838709675</v>
      </c>
      <c r="N68" s="87">
        <f>$M$64*M68+(1-$M$64)*L68</f>
        <v>0.83709677419354844</v>
      </c>
      <c r="O68" s="79"/>
      <c r="P68" s="209"/>
    </row>
    <row r="69" spans="2:27" x14ac:dyDescent="0.3">
      <c r="B69" s="79"/>
      <c r="C69" s="83" t="s">
        <v>96</v>
      </c>
      <c r="D69" s="99">
        <v>1.5</v>
      </c>
      <c r="E69" s="79"/>
      <c r="F69" s="81">
        <v>3500000</v>
      </c>
      <c r="G69" s="81">
        <v>4000000</v>
      </c>
      <c r="H69" s="95"/>
      <c r="I69" s="211">
        <f>D69</f>
        <v>1.5</v>
      </c>
      <c r="J69" s="210">
        <f>G69/F69</f>
        <v>1.1428571428571428</v>
      </c>
      <c r="K69" s="87">
        <f>J69/J49</f>
        <v>1.4746543778801842</v>
      </c>
      <c r="L69" s="87">
        <f>I69</f>
        <v>1.5</v>
      </c>
      <c r="M69" s="87">
        <f>K69*I69</f>
        <v>2.2119815668202762</v>
      </c>
      <c r="N69" s="234">
        <f>$M$64*M69+(1-$M$64)*L69</f>
        <v>1.8559907834101381</v>
      </c>
      <c r="O69" s="79"/>
      <c r="P69" s="209">
        <f>N69/I69</f>
        <v>1.2373271889400921</v>
      </c>
    </row>
    <row r="70" spans="2:27" x14ac:dyDescent="0.3">
      <c r="B70" s="79"/>
      <c r="C70" s="83" t="s">
        <v>413</v>
      </c>
      <c r="D70" s="99">
        <v>1</v>
      </c>
      <c r="E70" s="79"/>
      <c r="F70" s="81">
        <v>5000000</v>
      </c>
      <c r="G70" s="81">
        <v>3300000</v>
      </c>
      <c r="H70" s="95"/>
      <c r="I70" s="208">
        <f>D70</f>
        <v>1</v>
      </c>
      <c r="J70" s="207">
        <f>G70/F70</f>
        <v>0.66</v>
      </c>
      <c r="K70" s="206">
        <f>J70/J49</f>
        <v>0.85161290322580652</v>
      </c>
      <c r="L70" s="206">
        <f>I70</f>
        <v>1</v>
      </c>
      <c r="M70" s="206">
        <f>K70*I70</f>
        <v>0.85161290322580652</v>
      </c>
      <c r="N70" s="206">
        <f>$M$64*M70+(1-$M$64)*L70</f>
        <v>0.9258064516129032</v>
      </c>
      <c r="O70" s="79"/>
      <c r="P70" s="205"/>
    </row>
    <row r="71" spans="2:27" x14ac:dyDescent="0.3">
      <c r="B71" s="79"/>
      <c r="C71" s="79"/>
      <c r="D71" s="101"/>
      <c r="E71" s="79"/>
      <c r="I71" s="79"/>
      <c r="J71" s="79"/>
      <c r="K71" s="79"/>
      <c r="L71" s="79"/>
      <c r="M71" s="79"/>
      <c r="N71" s="79"/>
      <c r="O71" s="79"/>
      <c r="P71" s="204"/>
    </row>
    <row r="72" spans="2:27" x14ac:dyDescent="0.3">
      <c r="B72" s="79"/>
      <c r="C72" s="79"/>
      <c r="D72" s="79"/>
      <c r="E72" s="79"/>
      <c r="F72" s="79"/>
      <c r="G72" s="79"/>
      <c r="H72" s="79"/>
      <c r="I72" s="79"/>
      <c r="J72" s="79"/>
      <c r="K72" s="79"/>
      <c r="L72" s="89" t="s">
        <v>680</v>
      </c>
      <c r="M72" s="103">
        <f>G48</f>
        <v>0</v>
      </c>
      <c r="N72" s="79"/>
      <c r="O72" s="79"/>
      <c r="P72" s="214" t="s">
        <v>731</v>
      </c>
    </row>
    <row r="73" spans="2:27" x14ac:dyDescent="0.3">
      <c r="B73" s="79"/>
      <c r="C73" s="417" t="s">
        <v>41</v>
      </c>
      <c r="D73" s="418"/>
      <c r="E73" s="79"/>
      <c r="F73" s="85" t="s">
        <v>40</v>
      </c>
      <c r="G73" s="85" t="s">
        <v>39</v>
      </c>
      <c r="H73" s="98"/>
      <c r="I73" s="85" t="s">
        <v>677</v>
      </c>
      <c r="J73" s="85" t="s">
        <v>546</v>
      </c>
      <c r="K73" s="85" t="s">
        <v>674</v>
      </c>
      <c r="L73" s="85" t="s">
        <v>686</v>
      </c>
      <c r="M73" s="85" t="s">
        <v>685</v>
      </c>
      <c r="N73" s="85" t="s">
        <v>684</v>
      </c>
      <c r="O73" s="79"/>
      <c r="P73" s="213" t="s">
        <v>123</v>
      </c>
      <c r="Q73" s="8" t="s">
        <v>730</v>
      </c>
      <c r="R73" s="8"/>
      <c r="S73" s="8"/>
      <c r="T73" s="8"/>
      <c r="U73" s="8"/>
      <c r="V73" s="8"/>
      <c r="W73" s="8"/>
      <c r="X73" s="8"/>
      <c r="Y73" s="8"/>
      <c r="Z73" s="8"/>
      <c r="AA73" s="8"/>
    </row>
    <row r="74" spans="2:27" x14ac:dyDescent="0.3">
      <c r="B74" s="79"/>
      <c r="C74" s="83" t="s">
        <v>38</v>
      </c>
      <c r="D74" s="96">
        <v>0.5</v>
      </c>
      <c r="E74" s="79"/>
      <c r="F74" s="84">
        <v>1500000</v>
      </c>
      <c r="G74" s="84">
        <v>1162500</v>
      </c>
      <c r="H74" s="97"/>
      <c r="I74" s="211">
        <f t="shared" ref="I74:I79" si="0">D74</f>
        <v>0.5</v>
      </c>
      <c r="J74" s="210">
        <f t="shared" ref="J74:J79" si="1">G74/F74</f>
        <v>0.77500000000000002</v>
      </c>
      <c r="K74" s="87">
        <f>J74/J49</f>
        <v>1</v>
      </c>
      <c r="L74" s="87">
        <f t="shared" ref="L74:L79" si="2">I74</f>
        <v>0.5</v>
      </c>
      <c r="M74" s="87">
        <f t="shared" ref="M74:M79" si="3">K74*I74</f>
        <v>0.5</v>
      </c>
      <c r="N74" s="87">
        <f t="shared" ref="N74:N79" si="4">$M$72*M74+(1-$M$72)*L74</f>
        <v>0.5</v>
      </c>
      <c r="O74" s="79"/>
      <c r="P74" s="212"/>
    </row>
    <row r="75" spans="2:27" x14ac:dyDescent="0.3">
      <c r="B75" s="79"/>
      <c r="C75" s="83" t="s">
        <v>111</v>
      </c>
      <c r="D75" s="96">
        <v>0.75</v>
      </c>
      <c r="E75" s="79"/>
      <c r="F75" s="81">
        <v>2500000</v>
      </c>
      <c r="G75" s="81">
        <v>1937500</v>
      </c>
      <c r="H75" s="95"/>
      <c r="I75" s="211">
        <f t="shared" si="0"/>
        <v>0.75</v>
      </c>
      <c r="J75" s="210">
        <f t="shared" si="1"/>
        <v>0.77500000000000002</v>
      </c>
      <c r="K75" s="87">
        <f>J75/J49</f>
        <v>1</v>
      </c>
      <c r="L75" s="87">
        <f t="shared" si="2"/>
        <v>0.75</v>
      </c>
      <c r="M75" s="87">
        <f t="shared" si="3"/>
        <v>0.75</v>
      </c>
      <c r="N75" s="87">
        <f t="shared" si="4"/>
        <v>0.75</v>
      </c>
      <c r="O75" s="79"/>
      <c r="P75" s="209"/>
    </row>
    <row r="76" spans="2:27" x14ac:dyDescent="0.3">
      <c r="B76" s="79"/>
      <c r="C76" s="83" t="s">
        <v>36</v>
      </c>
      <c r="D76" s="96">
        <v>1.5</v>
      </c>
      <c r="E76" s="79"/>
      <c r="F76" s="81">
        <v>2000000</v>
      </c>
      <c r="G76" s="81">
        <v>1550000</v>
      </c>
      <c r="H76" s="95"/>
      <c r="I76" s="211">
        <f t="shared" si="0"/>
        <v>1.5</v>
      </c>
      <c r="J76" s="210">
        <f t="shared" si="1"/>
        <v>0.77500000000000002</v>
      </c>
      <c r="K76" s="87">
        <f>J76/J49</f>
        <v>1</v>
      </c>
      <c r="L76" s="87">
        <f t="shared" si="2"/>
        <v>1.5</v>
      </c>
      <c r="M76" s="87">
        <f t="shared" si="3"/>
        <v>1.5</v>
      </c>
      <c r="N76" s="87">
        <f t="shared" si="4"/>
        <v>1.5</v>
      </c>
      <c r="O76" s="79"/>
      <c r="P76" s="209"/>
    </row>
    <row r="77" spans="2:27" x14ac:dyDescent="0.3">
      <c r="B77" s="79"/>
      <c r="C77" s="83" t="s">
        <v>35</v>
      </c>
      <c r="D77" s="96">
        <v>0.5</v>
      </c>
      <c r="E77" s="79"/>
      <c r="F77" s="81">
        <v>2000000</v>
      </c>
      <c r="G77" s="81">
        <v>1550000</v>
      </c>
      <c r="H77" s="95"/>
      <c r="I77" s="211">
        <f t="shared" si="0"/>
        <v>0.5</v>
      </c>
      <c r="J77" s="210">
        <f t="shared" si="1"/>
        <v>0.77500000000000002</v>
      </c>
      <c r="K77" s="87">
        <f>J77/J49</f>
        <v>1</v>
      </c>
      <c r="L77" s="87">
        <f t="shared" si="2"/>
        <v>0.5</v>
      </c>
      <c r="M77" s="87">
        <f t="shared" si="3"/>
        <v>0.5</v>
      </c>
      <c r="N77" s="87">
        <f t="shared" si="4"/>
        <v>0.5</v>
      </c>
      <c r="O77" s="79"/>
      <c r="P77" s="209"/>
    </row>
    <row r="78" spans="2:27" x14ac:dyDescent="0.3">
      <c r="B78" s="79"/>
      <c r="C78" s="83" t="s">
        <v>105</v>
      </c>
      <c r="D78" s="96">
        <v>1.75</v>
      </c>
      <c r="E78" s="79"/>
      <c r="F78" s="81">
        <v>2000000</v>
      </c>
      <c r="G78" s="81">
        <v>1550000</v>
      </c>
      <c r="H78" s="95"/>
      <c r="I78" s="211">
        <f t="shared" si="0"/>
        <v>1.75</v>
      </c>
      <c r="J78" s="210">
        <f t="shared" si="1"/>
        <v>0.77500000000000002</v>
      </c>
      <c r="K78" s="87">
        <f>J78/J49</f>
        <v>1</v>
      </c>
      <c r="L78" s="87">
        <f t="shared" si="2"/>
        <v>1.75</v>
      </c>
      <c r="M78" s="87">
        <f t="shared" si="3"/>
        <v>1.75</v>
      </c>
      <c r="N78" s="87">
        <f t="shared" si="4"/>
        <v>1.75</v>
      </c>
      <c r="O78" s="79"/>
      <c r="P78" s="209"/>
    </row>
    <row r="79" spans="2:27" x14ac:dyDescent="0.3">
      <c r="B79" s="79"/>
      <c r="C79" s="83" t="s">
        <v>33</v>
      </c>
      <c r="D79" s="96">
        <v>1.25</v>
      </c>
      <c r="E79" s="79"/>
      <c r="F79" s="81">
        <v>2000000</v>
      </c>
      <c r="G79" s="81">
        <v>1550000</v>
      </c>
      <c r="H79" s="95"/>
      <c r="I79" s="208">
        <f t="shared" si="0"/>
        <v>1.25</v>
      </c>
      <c r="J79" s="207">
        <f t="shared" si="1"/>
        <v>0.77500000000000002</v>
      </c>
      <c r="K79" s="206">
        <f>J79/J49</f>
        <v>1</v>
      </c>
      <c r="L79" s="206">
        <f t="shared" si="2"/>
        <v>1.25</v>
      </c>
      <c r="M79" s="206">
        <f t="shared" si="3"/>
        <v>1.25</v>
      </c>
      <c r="N79" s="206">
        <f t="shared" si="4"/>
        <v>1.25</v>
      </c>
      <c r="O79" s="79"/>
      <c r="P79" s="205"/>
    </row>
    <row r="80" spans="2:27" x14ac:dyDescent="0.3">
      <c r="B80" s="79"/>
      <c r="C80" s="79"/>
      <c r="D80" s="100"/>
      <c r="E80" s="79"/>
      <c r="I80" s="79"/>
      <c r="J80" s="79"/>
      <c r="K80" s="79"/>
      <c r="L80" s="79"/>
      <c r="M80" s="79"/>
      <c r="N80" s="79"/>
      <c r="O80" s="79"/>
      <c r="P80" s="204"/>
    </row>
    <row r="81" spans="2:27" x14ac:dyDescent="0.3">
      <c r="B81" s="79"/>
      <c r="C81" s="79"/>
      <c r="D81" s="79"/>
      <c r="E81" s="79"/>
      <c r="F81" s="79"/>
      <c r="G81" s="79"/>
      <c r="H81" s="79"/>
      <c r="I81" s="79"/>
      <c r="J81" s="79"/>
      <c r="K81" s="79"/>
      <c r="L81" s="89" t="s">
        <v>680</v>
      </c>
      <c r="M81" s="103">
        <f>G49</f>
        <v>0</v>
      </c>
      <c r="N81" s="79"/>
      <c r="O81" s="79"/>
      <c r="P81" s="214" t="s">
        <v>49</v>
      </c>
    </row>
    <row r="82" spans="2:27" x14ac:dyDescent="0.3">
      <c r="B82" s="79"/>
      <c r="C82" s="417" t="s">
        <v>49</v>
      </c>
      <c r="D82" s="418"/>
      <c r="E82" s="79"/>
      <c r="F82" s="85" t="s">
        <v>40</v>
      </c>
      <c r="G82" s="85" t="s">
        <v>39</v>
      </c>
      <c r="H82" s="98"/>
      <c r="I82" s="85" t="s">
        <v>677</v>
      </c>
      <c r="J82" s="85" t="s">
        <v>546</v>
      </c>
      <c r="K82" s="85" t="s">
        <v>674</v>
      </c>
      <c r="L82" s="85" t="s">
        <v>686</v>
      </c>
      <c r="M82" s="85" t="s">
        <v>685</v>
      </c>
      <c r="N82" s="85" t="s">
        <v>684</v>
      </c>
      <c r="O82" s="79"/>
      <c r="P82" s="213" t="s">
        <v>123</v>
      </c>
    </row>
    <row r="83" spans="2:27" x14ac:dyDescent="0.3">
      <c r="B83" s="79"/>
      <c r="C83" s="83" t="s">
        <v>48</v>
      </c>
      <c r="D83" s="99">
        <v>1.1000000000000001</v>
      </c>
      <c r="E83" s="79"/>
      <c r="F83" s="84">
        <v>4000000</v>
      </c>
      <c r="G83" s="84">
        <v>5000000</v>
      </c>
      <c r="H83" s="97"/>
      <c r="I83" s="211">
        <f>D83</f>
        <v>1.1000000000000001</v>
      </c>
      <c r="J83" s="210">
        <f>G83/F83</f>
        <v>1.25</v>
      </c>
      <c r="K83" s="87">
        <f>J83/J49</f>
        <v>1.6129032258064515</v>
      </c>
      <c r="L83" s="87">
        <f>I83</f>
        <v>1.1000000000000001</v>
      </c>
      <c r="M83" s="87">
        <f>K83*I83</f>
        <v>1.7741935483870968</v>
      </c>
      <c r="N83" s="234">
        <f>$M$81*M83+(1-$M$81)*L83</f>
        <v>1.1000000000000001</v>
      </c>
      <c r="O83" s="79"/>
      <c r="P83" s="212">
        <f>N83/I83</f>
        <v>1</v>
      </c>
      <c r="Q83" s="8" t="s">
        <v>730</v>
      </c>
      <c r="R83" s="8"/>
      <c r="S83" s="8"/>
      <c r="T83" s="8"/>
      <c r="U83" s="8"/>
      <c r="V83" s="8"/>
      <c r="W83" s="8"/>
      <c r="X83" s="8"/>
      <c r="Y83" s="8"/>
      <c r="Z83" s="8"/>
      <c r="AA83" s="8"/>
    </row>
    <row r="84" spans="2:27" x14ac:dyDescent="0.3">
      <c r="B84" s="79"/>
      <c r="C84" s="83" t="s">
        <v>47</v>
      </c>
      <c r="D84" s="99">
        <v>0.9</v>
      </c>
      <c r="E84" s="79"/>
      <c r="F84" s="81">
        <v>2000000</v>
      </c>
      <c r="G84" s="81">
        <v>1300000</v>
      </c>
      <c r="H84" s="95"/>
      <c r="I84" s="211">
        <f>D84</f>
        <v>0.9</v>
      </c>
      <c r="J84" s="210">
        <f>G84/F84</f>
        <v>0.65</v>
      </c>
      <c r="K84" s="87">
        <f>J84/J49</f>
        <v>0.83870967741935487</v>
      </c>
      <c r="L84" s="87">
        <f>I84</f>
        <v>0.9</v>
      </c>
      <c r="M84" s="87">
        <f>K84*I84</f>
        <v>0.75483870967741939</v>
      </c>
      <c r="N84" s="87">
        <f>$M$81*M84+(1-$M$81)*L84</f>
        <v>0.9</v>
      </c>
      <c r="O84" s="79"/>
      <c r="P84" s="209"/>
    </row>
    <row r="85" spans="2:27" x14ac:dyDescent="0.3">
      <c r="B85" s="79"/>
      <c r="C85" s="83" t="s">
        <v>46</v>
      </c>
      <c r="D85" s="99">
        <v>0.9</v>
      </c>
      <c r="E85" s="79"/>
      <c r="F85" s="81">
        <v>3000000</v>
      </c>
      <c r="G85" s="81">
        <v>1300000</v>
      </c>
      <c r="H85" s="95"/>
      <c r="I85" s="211">
        <f>D85</f>
        <v>0.9</v>
      </c>
      <c r="J85" s="210">
        <f>G85/F85</f>
        <v>0.43333333333333335</v>
      </c>
      <c r="K85" s="87">
        <f>J85/J49</f>
        <v>0.55913978494623662</v>
      </c>
      <c r="L85" s="87">
        <f>I85</f>
        <v>0.9</v>
      </c>
      <c r="M85" s="87">
        <f>K85*I85</f>
        <v>0.50322580645161297</v>
      </c>
      <c r="N85" s="87">
        <f>$M$81*M85+(1-$M$81)*L85</f>
        <v>0.9</v>
      </c>
      <c r="O85" s="79"/>
      <c r="P85" s="209"/>
    </row>
    <row r="86" spans="2:27" x14ac:dyDescent="0.3">
      <c r="B86" s="79"/>
      <c r="C86" s="83" t="s">
        <v>45</v>
      </c>
      <c r="D86" s="99">
        <v>1.1000000000000001</v>
      </c>
      <c r="E86" s="79"/>
      <c r="F86" s="81">
        <v>1000000</v>
      </c>
      <c r="G86" s="81">
        <v>700000</v>
      </c>
      <c r="H86" s="95"/>
      <c r="I86" s="211">
        <f>D86</f>
        <v>1.1000000000000001</v>
      </c>
      <c r="J86" s="210">
        <f>G86/F86</f>
        <v>0.7</v>
      </c>
      <c r="K86" s="87">
        <f>J86/J49</f>
        <v>0.90322580645161277</v>
      </c>
      <c r="L86" s="87">
        <f>I86</f>
        <v>1.1000000000000001</v>
      </c>
      <c r="M86" s="87">
        <f>K86*I86</f>
        <v>0.99354838709677418</v>
      </c>
      <c r="N86" s="87">
        <f>$M$81*M86+(1-$M$81)*L86</f>
        <v>1.1000000000000001</v>
      </c>
      <c r="O86" s="79"/>
      <c r="P86" s="209"/>
    </row>
    <row r="87" spans="2:27" x14ac:dyDescent="0.3">
      <c r="B87" s="79"/>
      <c r="C87" s="83" t="s">
        <v>44</v>
      </c>
      <c r="D87" s="99">
        <v>1</v>
      </c>
      <c r="E87" s="79"/>
      <c r="F87" s="81">
        <v>2000000</v>
      </c>
      <c r="G87" s="81">
        <v>1000000</v>
      </c>
      <c r="H87" s="95"/>
      <c r="I87" s="208">
        <f>D87</f>
        <v>1</v>
      </c>
      <c r="J87" s="207">
        <f>G87/F87</f>
        <v>0.5</v>
      </c>
      <c r="K87" s="206">
        <f>J87/J49</f>
        <v>0.64516129032258063</v>
      </c>
      <c r="L87" s="206">
        <f>I87</f>
        <v>1</v>
      </c>
      <c r="M87" s="206">
        <f>K87*I87</f>
        <v>0.64516129032258063</v>
      </c>
      <c r="N87" s="206">
        <f>$M$81*M87+(1-$M$81)*L87</f>
        <v>1</v>
      </c>
      <c r="O87" s="79"/>
      <c r="P87" s="205"/>
    </row>
    <row r="88" spans="2:27" x14ac:dyDescent="0.3">
      <c r="B88" s="79"/>
      <c r="C88" s="79"/>
      <c r="D88" s="79"/>
      <c r="E88" s="79"/>
      <c r="I88" s="79"/>
      <c r="J88" s="79"/>
      <c r="K88" s="79"/>
      <c r="L88" s="79"/>
      <c r="M88" s="79"/>
      <c r="N88" s="79"/>
      <c r="O88" s="79"/>
      <c r="P88" s="204"/>
    </row>
    <row r="89" spans="2:27" x14ac:dyDescent="0.3">
      <c r="B89" s="417" t="s">
        <v>412</v>
      </c>
      <c r="C89" s="419"/>
      <c r="D89" s="418"/>
      <c r="E89" s="79"/>
      <c r="F89" s="79"/>
      <c r="G89" s="79"/>
      <c r="H89" s="79"/>
      <c r="I89" s="79"/>
      <c r="J89" s="79"/>
      <c r="K89" s="79"/>
      <c r="L89" s="89" t="s">
        <v>680</v>
      </c>
      <c r="M89" s="103">
        <f>G52</f>
        <v>0.5</v>
      </c>
      <c r="N89" s="79"/>
      <c r="O89" s="79"/>
      <c r="P89" s="214" t="s">
        <v>729</v>
      </c>
    </row>
    <row r="90" spans="2:27" x14ac:dyDescent="0.3">
      <c r="B90" s="83" t="s">
        <v>411</v>
      </c>
      <c r="C90" s="83" t="s">
        <v>410</v>
      </c>
      <c r="D90" s="89" t="s">
        <v>123</v>
      </c>
      <c r="E90" s="79"/>
      <c r="F90" s="85" t="s">
        <v>40</v>
      </c>
      <c r="G90" s="85" t="s">
        <v>39</v>
      </c>
      <c r="H90" s="98"/>
      <c r="I90" s="85" t="s">
        <v>677</v>
      </c>
      <c r="J90" s="85" t="s">
        <v>546</v>
      </c>
      <c r="K90" s="85" t="s">
        <v>674</v>
      </c>
      <c r="L90" s="85" t="s">
        <v>686</v>
      </c>
      <c r="M90" s="85" t="s">
        <v>685</v>
      </c>
      <c r="N90" s="85" t="s">
        <v>684</v>
      </c>
      <c r="O90" s="79"/>
      <c r="P90" s="213" t="s">
        <v>123</v>
      </c>
    </row>
    <row r="91" spans="2:27" x14ac:dyDescent="0.3">
      <c r="B91" s="83" t="s">
        <v>89</v>
      </c>
      <c r="C91" s="83" t="s">
        <v>409</v>
      </c>
      <c r="D91" s="96">
        <v>2</v>
      </c>
      <c r="E91" s="79"/>
      <c r="F91" s="84">
        <v>1000000</v>
      </c>
      <c r="G91" s="84">
        <v>800000</v>
      </c>
      <c r="H91" s="97"/>
      <c r="I91" s="211">
        <f>D91</f>
        <v>2</v>
      </c>
      <c r="J91" s="210">
        <f>G91/F91</f>
        <v>0.8</v>
      </c>
      <c r="K91" s="87">
        <f>J91/J49</f>
        <v>1.032258064516129</v>
      </c>
      <c r="L91" s="87">
        <f>I91</f>
        <v>2</v>
      </c>
      <c r="M91" s="87">
        <f>K91*I91</f>
        <v>2.064516129032258</v>
      </c>
      <c r="N91" s="87">
        <f>$M$89*M91+(1-$M$89)*L91</f>
        <v>2.032258064516129</v>
      </c>
      <c r="O91" s="79"/>
      <c r="P91" s="212"/>
    </row>
    <row r="92" spans="2:27" x14ac:dyDescent="0.3">
      <c r="B92" s="83" t="s">
        <v>88</v>
      </c>
      <c r="C92" s="83" t="s">
        <v>409</v>
      </c>
      <c r="D92" s="96">
        <v>1.5</v>
      </c>
      <c r="E92" s="79"/>
      <c r="F92" s="81">
        <v>1000000</v>
      </c>
      <c r="G92" s="81">
        <v>700000</v>
      </c>
      <c r="H92" s="95"/>
      <c r="I92" s="211">
        <f>D92</f>
        <v>1.5</v>
      </c>
      <c r="J92" s="210">
        <f>G92/F92</f>
        <v>0.7</v>
      </c>
      <c r="K92" s="87">
        <f>J92/J49</f>
        <v>0.90322580645161277</v>
      </c>
      <c r="L92" s="87">
        <f>I92</f>
        <v>1.5</v>
      </c>
      <c r="M92" s="87">
        <f>K92*I92</f>
        <v>1.354838709677419</v>
      </c>
      <c r="N92" s="87">
        <f>$M$89*M92+(1-$M$89)*L92</f>
        <v>1.4274193548387095</v>
      </c>
      <c r="O92" s="79"/>
      <c r="P92" s="209"/>
    </row>
    <row r="93" spans="2:27" x14ac:dyDescent="0.3">
      <c r="B93" s="83" t="s">
        <v>89</v>
      </c>
      <c r="C93" s="83" t="s">
        <v>408</v>
      </c>
      <c r="D93" s="96">
        <v>1</v>
      </c>
      <c r="E93" s="79"/>
      <c r="F93" s="81">
        <v>3000000</v>
      </c>
      <c r="G93" s="81">
        <v>2100000</v>
      </c>
      <c r="H93" s="95"/>
      <c r="I93" s="211">
        <f>D93</f>
        <v>1</v>
      </c>
      <c r="J93" s="210">
        <f>G93/F93</f>
        <v>0.7</v>
      </c>
      <c r="K93" s="87">
        <f>J93/J49</f>
        <v>0.90322580645161277</v>
      </c>
      <c r="L93" s="87">
        <f>I93</f>
        <v>1</v>
      </c>
      <c r="M93" s="87">
        <f>K93*I93</f>
        <v>0.90322580645161277</v>
      </c>
      <c r="N93" s="87">
        <f>$M$89*M93+(1-$M$89)*L93</f>
        <v>0.95161290322580638</v>
      </c>
      <c r="O93" s="79"/>
      <c r="P93" s="209"/>
    </row>
    <row r="94" spans="2:27" x14ac:dyDescent="0.3">
      <c r="B94" s="83" t="s">
        <v>88</v>
      </c>
      <c r="C94" s="83" t="s">
        <v>408</v>
      </c>
      <c r="D94" s="96">
        <v>0.75</v>
      </c>
      <c r="E94" s="79"/>
      <c r="F94" s="81">
        <v>7000000</v>
      </c>
      <c r="G94" s="81">
        <v>5700000</v>
      </c>
      <c r="H94" s="95"/>
      <c r="I94" s="208">
        <f>D94</f>
        <v>0.75</v>
      </c>
      <c r="J94" s="207">
        <f>G94/F94</f>
        <v>0.81428571428571428</v>
      </c>
      <c r="K94" s="206">
        <f>J94/J49</f>
        <v>1.0506912442396312</v>
      </c>
      <c r="L94" s="206">
        <f>I94</f>
        <v>0.75</v>
      </c>
      <c r="M94" s="206">
        <f>K94*I94</f>
        <v>0.78801843317972342</v>
      </c>
      <c r="N94" s="233">
        <f>$M$89*M94+(1-$M$89)*L94</f>
        <v>0.76900921658986165</v>
      </c>
      <c r="O94" s="79"/>
      <c r="P94" s="205">
        <f>N94/I94</f>
        <v>1.0253456221198156</v>
      </c>
    </row>
    <row r="95" spans="2:27" x14ac:dyDescent="0.3">
      <c r="B95" s="79"/>
      <c r="C95" s="79"/>
      <c r="D95" s="79"/>
      <c r="E95" s="79"/>
      <c r="I95" s="79"/>
      <c r="J95" s="79"/>
      <c r="K95" s="79"/>
      <c r="L95" s="79"/>
      <c r="M95" s="79"/>
      <c r="N95" s="79"/>
      <c r="O95" s="79"/>
      <c r="P95" s="80"/>
    </row>
    <row r="96" spans="2:27" x14ac:dyDescent="0.3">
      <c r="B96" s="79"/>
      <c r="C96" s="79"/>
      <c r="D96" s="79"/>
      <c r="E96" s="79"/>
      <c r="F96" s="79"/>
      <c r="G96" s="79"/>
      <c r="H96" s="79"/>
      <c r="I96" s="79"/>
      <c r="J96" s="79"/>
      <c r="K96" s="79"/>
      <c r="L96" s="79"/>
      <c r="M96" s="79"/>
      <c r="N96" s="202" t="s">
        <v>683</v>
      </c>
      <c r="O96" s="79"/>
      <c r="P96" s="203">
        <f>PRODUCT(P52:P94)</f>
        <v>1.5123063222985045</v>
      </c>
    </row>
    <row r="97" spans="2:16" x14ac:dyDescent="0.3">
      <c r="B97" s="79"/>
      <c r="C97" s="79"/>
      <c r="D97" s="79"/>
      <c r="E97" s="79"/>
      <c r="F97" s="79"/>
      <c r="G97" s="79"/>
      <c r="H97" s="79"/>
      <c r="I97" s="79"/>
      <c r="J97" s="79"/>
      <c r="K97" s="79"/>
      <c r="L97" s="79"/>
      <c r="M97" s="79"/>
      <c r="N97" s="202" t="s">
        <v>682</v>
      </c>
      <c r="O97" s="79"/>
      <c r="P97" s="201">
        <f>P96-1</f>
        <v>0.51230632229850448</v>
      </c>
    </row>
  </sheetData>
  <mergeCells count="21">
    <mergeCell ref="C73:D73"/>
    <mergeCell ref="C82:D82"/>
    <mergeCell ref="B89:D89"/>
    <mergeCell ref="C51:E51"/>
    <mergeCell ref="C52:E52"/>
    <mergeCell ref="C54:D54"/>
    <mergeCell ref="F55:G55"/>
    <mergeCell ref="C56:D56"/>
    <mergeCell ref="C64:D64"/>
    <mergeCell ref="C35:D35"/>
    <mergeCell ref="C46:E46"/>
    <mergeCell ref="C47:E47"/>
    <mergeCell ref="C48:E48"/>
    <mergeCell ref="C49:E49"/>
    <mergeCell ref="C50:E50"/>
    <mergeCell ref="C18:D18"/>
    <mergeCell ref="C7:F7"/>
    <mergeCell ref="C11:G11"/>
    <mergeCell ref="I11:N11"/>
    <mergeCell ref="F15:G15"/>
    <mergeCell ref="F16:G1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DDEE9-91B3-409B-BA83-67CA1078360C}">
  <sheetPr>
    <tabColor theme="5" tint="0.39997558519241921"/>
  </sheetPr>
  <dimension ref="A1:O44"/>
  <sheetViews>
    <sheetView workbookViewId="0">
      <selection activeCell="U46" sqref="U46"/>
    </sheetView>
  </sheetViews>
  <sheetFormatPr defaultRowHeight="14.4" x14ac:dyDescent="0.3"/>
  <cols>
    <col min="4" max="9" width="13.33203125" customWidth="1"/>
    <col min="11" max="15" width="12.6640625" customWidth="1"/>
  </cols>
  <sheetData>
    <row r="1" spans="1:10" ht="15" thickBot="1" x14ac:dyDescent="0.35">
      <c r="A1" t="s">
        <v>448</v>
      </c>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118"/>
      <c r="D10" s="117"/>
      <c r="E10" s="114" t="s">
        <v>3</v>
      </c>
      <c r="F10" s="114"/>
      <c r="G10" s="114"/>
      <c r="H10" s="116"/>
    </row>
    <row r="21" spans="3:15" ht="15" thickBot="1" x14ac:dyDescent="0.35"/>
    <row r="22" spans="3:15" ht="15" thickBot="1" x14ac:dyDescent="0.35">
      <c r="C22" s="399" t="s">
        <v>10</v>
      </c>
      <c r="D22" s="400"/>
      <c r="E22" s="400"/>
      <c r="F22" s="400"/>
      <c r="G22" s="400"/>
      <c r="H22" s="400"/>
      <c r="I22" s="401"/>
      <c r="K22" s="399" t="s">
        <v>0</v>
      </c>
      <c r="L22" s="400"/>
      <c r="M22" s="400"/>
      <c r="N22" s="400"/>
      <c r="O22" s="401"/>
    </row>
    <row r="24" spans="3:15" ht="14.7" customHeight="1" x14ac:dyDescent="0.3">
      <c r="D24" s="403" t="s">
        <v>447</v>
      </c>
      <c r="E24" s="403"/>
      <c r="F24" s="403" t="s">
        <v>446</v>
      </c>
      <c r="G24" s="403"/>
      <c r="H24" s="403" t="s">
        <v>445</v>
      </c>
      <c r="I24" s="403"/>
    </row>
    <row r="25" spans="3:15" x14ac:dyDescent="0.3">
      <c r="C25" s="30" t="s">
        <v>444</v>
      </c>
      <c r="D25" s="58" t="s">
        <v>443</v>
      </c>
      <c r="E25" s="58" t="s">
        <v>442</v>
      </c>
      <c r="F25" s="58" t="s">
        <v>393</v>
      </c>
      <c r="G25" s="58" t="s">
        <v>389</v>
      </c>
      <c r="H25" s="58" t="s">
        <v>254</v>
      </c>
      <c r="I25" s="58" t="s">
        <v>441</v>
      </c>
    </row>
    <row r="26" spans="3:15" x14ac:dyDescent="0.3">
      <c r="C26" t="s">
        <v>440</v>
      </c>
      <c r="D26" s="94">
        <v>100000</v>
      </c>
      <c r="E26" s="94">
        <v>10000</v>
      </c>
      <c r="F26" s="115">
        <v>0</v>
      </c>
      <c r="G26" s="115">
        <v>0</v>
      </c>
      <c r="H26" s="115">
        <v>0</v>
      </c>
      <c r="I26" s="115">
        <v>0</v>
      </c>
    </row>
    <row r="27" spans="3:15" x14ac:dyDescent="0.3">
      <c r="C27" t="s">
        <v>439</v>
      </c>
      <c r="D27" s="94">
        <v>900000</v>
      </c>
      <c r="E27" s="94">
        <v>80000</v>
      </c>
      <c r="F27" s="115">
        <v>0</v>
      </c>
      <c r="G27" s="115">
        <v>1</v>
      </c>
      <c r="H27" s="115">
        <v>0</v>
      </c>
      <c r="I27" s="115">
        <v>0</v>
      </c>
    </row>
    <row r="28" spans="3:15" x14ac:dyDescent="0.3">
      <c r="C28" t="s">
        <v>438</v>
      </c>
      <c r="D28" s="94">
        <v>800000</v>
      </c>
      <c r="E28" s="94">
        <v>135000</v>
      </c>
      <c r="F28" s="115">
        <v>0.7</v>
      </c>
      <c r="G28" s="115">
        <v>0.3</v>
      </c>
      <c r="H28" s="115">
        <v>0.06</v>
      </c>
      <c r="I28" s="115">
        <v>0</v>
      </c>
    </row>
    <row r="29" spans="3:15" x14ac:dyDescent="0.3">
      <c r="C29" t="s">
        <v>437</v>
      </c>
      <c r="D29" s="94">
        <v>600000</v>
      </c>
      <c r="E29" s="94">
        <v>95000</v>
      </c>
      <c r="F29" s="115">
        <v>0.7</v>
      </c>
      <c r="G29" s="115">
        <v>0.3</v>
      </c>
      <c r="H29" s="115">
        <v>7.0000000000000007E-2</v>
      </c>
      <c r="I29" s="115">
        <v>0</v>
      </c>
    </row>
    <row r="41" spans="4:4" x14ac:dyDescent="0.3">
      <c r="D41" s="18"/>
    </row>
    <row r="42" spans="4:4" x14ac:dyDescent="0.3">
      <c r="D42" s="18"/>
    </row>
    <row r="43" spans="4:4" x14ac:dyDescent="0.3">
      <c r="D43" s="18"/>
    </row>
    <row r="44" spans="4:4" x14ac:dyDescent="0.3">
      <c r="D44" s="18"/>
    </row>
  </sheetData>
  <mergeCells count="5">
    <mergeCell ref="C22:I22"/>
    <mergeCell ref="K22:O22"/>
    <mergeCell ref="D24:E24"/>
    <mergeCell ref="F24:G24"/>
    <mergeCell ref="H24:I24"/>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E7D62-7F41-44A4-9CEA-2F0614C457AF}">
  <sheetPr>
    <tabColor theme="9" tint="0.59999389629810485"/>
  </sheetPr>
  <dimension ref="A1:V61"/>
  <sheetViews>
    <sheetView workbookViewId="0">
      <selection activeCell="O51" sqref="O51"/>
    </sheetView>
  </sheetViews>
  <sheetFormatPr defaultRowHeight="14.4" x14ac:dyDescent="0.3"/>
  <cols>
    <col min="4" max="9" width="13.33203125" customWidth="1"/>
    <col min="11" max="15" width="12.6640625" customWidth="1"/>
  </cols>
  <sheetData>
    <row r="1" spans="1:10" ht="15" thickBot="1" x14ac:dyDescent="0.35">
      <c r="A1" t="s">
        <v>448</v>
      </c>
      <c r="I1" s="10" t="s">
        <v>16</v>
      </c>
      <c r="J1" s="9"/>
    </row>
    <row r="2" spans="1:10" x14ac:dyDescent="0.3">
      <c r="I2" s="8" t="s">
        <v>15</v>
      </c>
      <c r="J2" s="8"/>
    </row>
    <row r="3" spans="1:10" ht="15" thickBot="1" x14ac:dyDescent="0.35">
      <c r="I3" s="7" t="s">
        <v>14</v>
      </c>
      <c r="J3" s="7"/>
    </row>
    <row r="4" spans="1:10" ht="15.6" thickTop="1" thickBot="1" x14ac:dyDescent="0.35">
      <c r="I4" s="6" t="s">
        <v>13</v>
      </c>
      <c r="J4" s="6"/>
    </row>
    <row r="5" spans="1:10" ht="15" thickTop="1" x14ac:dyDescent="0.3">
      <c r="I5" s="5" t="s">
        <v>12</v>
      </c>
      <c r="J5" s="4"/>
    </row>
    <row r="9" spans="1:10" ht="15" thickBot="1" x14ac:dyDescent="0.35"/>
    <row r="10" spans="1:10" ht="15" thickBot="1" x14ac:dyDescent="0.35">
      <c r="C10" s="118"/>
      <c r="D10" s="117"/>
      <c r="E10" s="114" t="s">
        <v>3</v>
      </c>
      <c r="F10" s="114"/>
      <c r="G10" s="114"/>
      <c r="H10" s="116"/>
    </row>
    <row r="21" spans="3:15" ht="15" thickBot="1" x14ac:dyDescent="0.35"/>
    <row r="22" spans="3:15" ht="15" thickBot="1" x14ac:dyDescent="0.35">
      <c r="C22" s="399" t="s">
        <v>10</v>
      </c>
      <c r="D22" s="400"/>
      <c r="E22" s="400"/>
      <c r="F22" s="400"/>
      <c r="G22" s="400"/>
      <c r="H22" s="400"/>
      <c r="I22" s="401"/>
      <c r="K22" s="399" t="s">
        <v>0</v>
      </c>
      <c r="L22" s="400"/>
      <c r="M22" s="400"/>
      <c r="N22" s="400"/>
      <c r="O22" s="401"/>
    </row>
    <row r="24" spans="3:15" ht="14.7" customHeight="1" x14ac:dyDescent="0.3">
      <c r="D24" s="403" t="s">
        <v>447</v>
      </c>
      <c r="E24" s="403"/>
      <c r="F24" s="403" t="s">
        <v>446</v>
      </c>
      <c r="G24" s="403"/>
      <c r="H24" s="403" t="s">
        <v>445</v>
      </c>
      <c r="I24" s="403"/>
      <c r="L24" s="403" t="s">
        <v>447</v>
      </c>
      <c r="M24" s="403"/>
      <c r="N24" s="403" t="s">
        <v>753</v>
      </c>
      <c r="O24" s="403"/>
    </row>
    <row r="25" spans="3:15" x14ac:dyDescent="0.3">
      <c r="C25" s="30" t="s">
        <v>444</v>
      </c>
      <c r="D25" s="58" t="s">
        <v>443</v>
      </c>
      <c r="E25" s="58" t="s">
        <v>442</v>
      </c>
      <c r="F25" s="58" t="s">
        <v>393</v>
      </c>
      <c r="G25" s="58" t="s">
        <v>389</v>
      </c>
      <c r="H25" s="58" t="s">
        <v>254</v>
      </c>
      <c r="I25" s="58" t="s">
        <v>441</v>
      </c>
      <c r="K25" s="30" t="s">
        <v>444</v>
      </c>
      <c r="L25" s="58" t="s">
        <v>443</v>
      </c>
      <c r="M25" s="58" t="s">
        <v>442</v>
      </c>
      <c r="N25" s="58" t="s">
        <v>443</v>
      </c>
      <c r="O25" s="58" t="s">
        <v>442</v>
      </c>
    </row>
    <row r="26" spans="3:15" x14ac:dyDescent="0.3">
      <c r="C26" t="s">
        <v>440</v>
      </c>
      <c r="D26" s="94">
        <v>100000</v>
      </c>
      <c r="E26" s="94">
        <v>10000</v>
      </c>
      <c r="F26" s="115">
        <v>0</v>
      </c>
      <c r="G26" s="115">
        <v>0</v>
      </c>
      <c r="H26" s="115">
        <v>0</v>
      </c>
      <c r="I26" s="115">
        <v>0</v>
      </c>
      <c r="K26" t="s">
        <v>440</v>
      </c>
      <c r="L26" s="94">
        <v>100000</v>
      </c>
      <c r="M26" s="94">
        <v>10000</v>
      </c>
      <c r="N26" s="18">
        <f t="shared" ref="N26:O29" si="0">L26*(1-$F26)</f>
        <v>100000</v>
      </c>
      <c r="O26" s="18">
        <f t="shared" si="0"/>
        <v>10000</v>
      </c>
    </row>
    <row r="27" spans="3:15" x14ac:dyDescent="0.3">
      <c r="C27" t="s">
        <v>439</v>
      </c>
      <c r="D27" s="94">
        <v>900000</v>
      </c>
      <c r="E27" s="94">
        <v>80000</v>
      </c>
      <c r="F27" s="115">
        <v>0</v>
      </c>
      <c r="G27" s="115">
        <v>1</v>
      </c>
      <c r="H27" s="115">
        <v>0</v>
      </c>
      <c r="I27" s="115">
        <v>0</v>
      </c>
      <c r="K27" t="s">
        <v>439</v>
      </c>
      <c r="L27" s="94">
        <v>900000</v>
      </c>
      <c r="M27" s="94">
        <v>80000</v>
      </c>
      <c r="N27" s="18">
        <f t="shared" si="0"/>
        <v>900000</v>
      </c>
      <c r="O27" s="18">
        <f t="shared" si="0"/>
        <v>80000</v>
      </c>
    </row>
    <row r="28" spans="3:15" x14ac:dyDescent="0.3">
      <c r="C28" t="s">
        <v>438</v>
      </c>
      <c r="D28" s="94">
        <v>800000</v>
      </c>
      <c r="E28" s="94">
        <v>135000</v>
      </c>
      <c r="F28" s="115">
        <v>0.7</v>
      </c>
      <c r="G28" s="115">
        <v>0.3</v>
      </c>
      <c r="H28" s="115">
        <v>0.06</v>
      </c>
      <c r="I28" s="115">
        <v>0</v>
      </c>
      <c r="K28" t="s">
        <v>438</v>
      </c>
      <c r="L28" s="94">
        <v>800000</v>
      </c>
      <c r="M28" s="94">
        <v>135000</v>
      </c>
      <c r="N28" s="18">
        <f t="shared" si="0"/>
        <v>240000.00000000003</v>
      </c>
      <c r="O28" s="18">
        <f t="shared" si="0"/>
        <v>40500.000000000007</v>
      </c>
    </row>
    <row r="29" spans="3:15" x14ac:dyDescent="0.3">
      <c r="C29" t="s">
        <v>437</v>
      </c>
      <c r="D29" s="94">
        <v>600000</v>
      </c>
      <c r="E29" s="94">
        <v>95000</v>
      </c>
      <c r="F29" s="115">
        <v>0.7</v>
      </c>
      <c r="G29" s="115">
        <v>0.3</v>
      </c>
      <c r="H29" s="115">
        <v>7.0000000000000007E-2</v>
      </c>
      <c r="I29" s="115">
        <v>0</v>
      </c>
      <c r="K29" s="2" t="s">
        <v>437</v>
      </c>
      <c r="L29" s="231">
        <v>600000</v>
      </c>
      <c r="M29" s="231">
        <v>95000</v>
      </c>
      <c r="N29" s="20">
        <f t="shared" si="0"/>
        <v>180000.00000000003</v>
      </c>
      <c r="O29" s="20">
        <f t="shared" si="0"/>
        <v>28500.000000000004</v>
      </c>
    </row>
    <row r="30" spans="3:15" x14ac:dyDescent="0.3">
      <c r="N30" s="18">
        <f>SUM(N26:N29)</f>
        <v>1420000</v>
      </c>
      <c r="O30" s="18">
        <f>SUM(O26:O29)</f>
        <v>159000</v>
      </c>
    </row>
    <row r="32" spans="3:15" x14ac:dyDescent="0.3">
      <c r="L32" s="403" t="s">
        <v>752</v>
      </c>
      <c r="M32" s="403"/>
      <c r="N32" s="403" t="s">
        <v>751</v>
      </c>
      <c r="O32" s="403"/>
    </row>
    <row r="33" spans="4:22" x14ac:dyDescent="0.3">
      <c r="K33" s="30" t="s">
        <v>444</v>
      </c>
      <c r="L33" s="58" t="s">
        <v>443</v>
      </c>
      <c r="M33" s="58" t="s">
        <v>442</v>
      </c>
      <c r="N33" s="58" t="s">
        <v>443</v>
      </c>
      <c r="O33" s="58" t="s">
        <v>442</v>
      </c>
    </row>
    <row r="34" spans="4:22" x14ac:dyDescent="0.3">
      <c r="K34" t="s">
        <v>440</v>
      </c>
      <c r="L34" s="18">
        <f t="shared" ref="L34:M37" si="1">D26*(1+$H26)</f>
        <v>100000</v>
      </c>
      <c r="M34" s="18">
        <f t="shared" si="1"/>
        <v>10000</v>
      </c>
      <c r="N34" s="18">
        <f t="shared" ref="N34:O37" si="2">L34*(1-$G26)</f>
        <v>100000</v>
      </c>
      <c r="O34" s="18">
        <f t="shared" si="2"/>
        <v>10000</v>
      </c>
      <c r="P34" s="8" t="s">
        <v>750</v>
      </c>
      <c r="Q34" s="8"/>
      <c r="R34" s="8"/>
      <c r="S34" s="8"/>
      <c r="T34" s="8"/>
      <c r="U34" s="8"/>
      <c r="V34" s="8"/>
    </row>
    <row r="35" spans="4:22" x14ac:dyDescent="0.3">
      <c r="K35" t="s">
        <v>439</v>
      </c>
      <c r="L35" s="18">
        <f t="shared" si="1"/>
        <v>900000</v>
      </c>
      <c r="M35" s="18">
        <f t="shared" si="1"/>
        <v>80000</v>
      </c>
      <c r="N35" s="18">
        <f t="shared" si="2"/>
        <v>0</v>
      </c>
      <c r="O35" s="18">
        <f t="shared" si="2"/>
        <v>0</v>
      </c>
    </row>
    <row r="36" spans="4:22" x14ac:dyDescent="0.3">
      <c r="K36" t="s">
        <v>438</v>
      </c>
      <c r="L36" s="18">
        <f t="shared" si="1"/>
        <v>848000</v>
      </c>
      <c r="M36" s="18">
        <f t="shared" si="1"/>
        <v>143100</v>
      </c>
      <c r="N36" s="18">
        <f t="shared" si="2"/>
        <v>593600</v>
      </c>
      <c r="O36" s="18">
        <f t="shared" si="2"/>
        <v>100170</v>
      </c>
    </row>
    <row r="37" spans="4:22" x14ac:dyDescent="0.3">
      <c r="K37" s="2" t="s">
        <v>437</v>
      </c>
      <c r="L37" s="20">
        <f t="shared" si="1"/>
        <v>642000</v>
      </c>
      <c r="M37" s="20">
        <f t="shared" si="1"/>
        <v>101650</v>
      </c>
      <c r="N37" s="20">
        <f t="shared" si="2"/>
        <v>449400</v>
      </c>
      <c r="O37" s="20">
        <f t="shared" si="2"/>
        <v>71155</v>
      </c>
    </row>
    <row r="38" spans="4:22" x14ac:dyDescent="0.3">
      <c r="N38" s="18">
        <f>SUM(N34:N37)</f>
        <v>1143000</v>
      </c>
      <c r="O38" s="18">
        <f>SUM(O34:O37)</f>
        <v>181325</v>
      </c>
    </row>
    <row r="41" spans="4:22" x14ac:dyDescent="0.3">
      <c r="D41" s="18"/>
      <c r="L41" s="423" t="s">
        <v>749</v>
      </c>
      <c r="M41" s="423"/>
    </row>
    <row r="42" spans="4:22" x14ac:dyDescent="0.3">
      <c r="D42" s="18"/>
      <c r="K42" s="30" t="s">
        <v>444</v>
      </c>
      <c r="L42" s="58" t="s">
        <v>443</v>
      </c>
      <c r="M42" s="58" t="s">
        <v>442</v>
      </c>
    </row>
    <row r="43" spans="4:22" x14ac:dyDescent="0.3">
      <c r="D43" s="18"/>
      <c r="K43" t="s">
        <v>440</v>
      </c>
      <c r="L43" s="236">
        <f t="shared" ref="L43:M47" si="3">N34-N26</f>
        <v>0</v>
      </c>
      <c r="M43" s="236">
        <f t="shared" si="3"/>
        <v>0</v>
      </c>
    </row>
    <row r="44" spans="4:22" x14ac:dyDescent="0.3">
      <c r="D44" s="18"/>
      <c r="K44" t="s">
        <v>439</v>
      </c>
      <c r="L44" s="236">
        <f t="shared" si="3"/>
        <v>-900000</v>
      </c>
      <c r="M44" s="236">
        <f t="shared" si="3"/>
        <v>-80000</v>
      </c>
    </row>
    <row r="45" spans="4:22" x14ac:dyDescent="0.3">
      <c r="K45" t="s">
        <v>438</v>
      </c>
      <c r="L45" s="236">
        <f t="shared" si="3"/>
        <v>353600</v>
      </c>
      <c r="M45" s="236">
        <f t="shared" si="3"/>
        <v>59669.999999999993</v>
      </c>
    </row>
    <row r="46" spans="4:22" x14ac:dyDescent="0.3">
      <c r="K46" s="2" t="s">
        <v>437</v>
      </c>
      <c r="L46" s="236">
        <f t="shared" si="3"/>
        <v>269400</v>
      </c>
      <c r="M46" s="236">
        <f t="shared" si="3"/>
        <v>42655</v>
      </c>
    </row>
    <row r="47" spans="4:22" x14ac:dyDescent="0.3">
      <c r="L47" s="236">
        <f t="shared" si="3"/>
        <v>-277000</v>
      </c>
      <c r="M47" s="236">
        <f t="shared" si="3"/>
        <v>22325</v>
      </c>
    </row>
    <row r="50" spans="11:15" x14ac:dyDescent="0.3">
      <c r="L50" s="73"/>
      <c r="M50" s="73"/>
      <c r="N50" s="73"/>
      <c r="O50" s="73"/>
    </row>
    <row r="51" spans="11:15" x14ac:dyDescent="0.3">
      <c r="L51" s="73"/>
      <c r="M51" s="73"/>
      <c r="N51" s="73"/>
      <c r="O51" s="73"/>
    </row>
    <row r="52" spans="11:15" x14ac:dyDescent="0.3">
      <c r="N52" s="73"/>
      <c r="O52" s="73"/>
    </row>
    <row r="60" spans="11:15" x14ac:dyDescent="0.3">
      <c r="K60" t="s">
        <v>439</v>
      </c>
      <c r="L60" s="34">
        <f>D27/SUM(D26:D29)</f>
        <v>0.375</v>
      </c>
      <c r="M60" s="34">
        <f>E27/SUM(E26:E29)</f>
        <v>0.25</v>
      </c>
    </row>
    <row r="61" spans="11:15" x14ac:dyDescent="0.3">
      <c r="K61" t="s">
        <v>748</v>
      </c>
      <c r="L61" s="34">
        <f>SUM(D28:D29)/SUM(D26:D29)</f>
        <v>0.58333333333333337</v>
      </c>
      <c r="M61" s="34">
        <f>SUM(E28:E29)/SUM(E26:E29)</f>
        <v>0.71875</v>
      </c>
    </row>
  </sheetData>
  <mergeCells count="10">
    <mergeCell ref="L32:M32"/>
    <mergeCell ref="N32:O32"/>
    <mergeCell ref="L41:M41"/>
    <mergeCell ref="C22:I22"/>
    <mergeCell ref="K22:O22"/>
    <mergeCell ref="D24:E24"/>
    <mergeCell ref="F24:G24"/>
    <mergeCell ref="H24:I24"/>
    <mergeCell ref="L24:M24"/>
    <mergeCell ref="N24:O2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0633-7AF9-4D7C-952B-67D8A4677671}">
  <sheetPr>
    <tabColor theme="5" tint="0.39997558519241921"/>
  </sheetPr>
  <dimension ref="A1:P59"/>
  <sheetViews>
    <sheetView workbookViewId="0">
      <selection activeCell="U46" sqref="U46"/>
    </sheetView>
  </sheetViews>
  <sheetFormatPr defaultRowHeight="14.4" x14ac:dyDescent="0.3"/>
  <cols>
    <col min="3" max="10" width="13.6640625" customWidth="1"/>
    <col min="13" max="13" width="14.6640625" customWidth="1"/>
    <col min="14" max="14" width="14.109375" customWidth="1"/>
    <col min="15" max="15" width="16.33203125" customWidth="1"/>
    <col min="16" max="16" width="13.88671875" customWidth="1"/>
  </cols>
  <sheetData>
    <row r="1" spans="1:8" ht="15" thickBot="1" x14ac:dyDescent="0.35">
      <c r="A1" t="s">
        <v>462</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21" spans="1:16" ht="15" thickBot="1" x14ac:dyDescent="0.35"/>
    <row r="22" spans="1:16" ht="15" thickBot="1" x14ac:dyDescent="0.35">
      <c r="C22" s="399" t="s">
        <v>10</v>
      </c>
      <c r="D22" s="400"/>
      <c r="E22" s="400"/>
      <c r="F22" s="400"/>
      <c r="G22" s="400"/>
      <c r="H22" s="400"/>
      <c r="I22" s="400"/>
      <c r="J22" s="401"/>
      <c r="L22" s="399" t="s">
        <v>0</v>
      </c>
      <c r="M22" s="400"/>
      <c r="N22" s="400"/>
      <c r="O22" s="400"/>
      <c r="P22" s="401"/>
    </row>
    <row r="23" spans="1:16" s="2" customFormat="1" x14ac:dyDescent="0.3">
      <c r="A23" s="2" t="s">
        <v>4</v>
      </c>
    </row>
    <row r="25" spans="1:16" x14ac:dyDescent="0.3">
      <c r="C25" t="s">
        <v>461</v>
      </c>
    </row>
    <row r="26" spans="1:16" x14ac:dyDescent="0.3">
      <c r="C26" t="s">
        <v>460</v>
      </c>
    </row>
    <row r="28" spans="1:16" x14ac:dyDescent="0.3">
      <c r="E28" s="412" t="s">
        <v>459</v>
      </c>
      <c r="F28" s="412"/>
      <c r="G28" s="412"/>
      <c r="H28" s="412" t="s">
        <v>458</v>
      </c>
      <c r="I28" s="412"/>
      <c r="J28" s="412"/>
    </row>
    <row r="29" spans="1:16" x14ac:dyDescent="0.3">
      <c r="C29" s="93" t="s">
        <v>291</v>
      </c>
      <c r="D29" s="93" t="s">
        <v>455</v>
      </c>
      <c r="E29" s="93" t="s">
        <v>454</v>
      </c>
      <c r="F29" s="93" t="s">
        <v>453</v>
      </c>
      <c r="G29" s="93" t="s">
        <v>452</v>
      </c>
      <c r="H29" s="93" t="s">
        <v>454</v>
      </c>
      <c r="I29" s="93" t="s">
        <v>453</v>
      </c>
      <c r="J29" s="93" t="s">
        <v>452</v>
      </c>
    </row>
    <row r="30" spans="1:16" x14ac:dyDescent="0.3">
      <c r="C30" s="93" t="s">
        <v>393</v>
      </c>
      <c r="D30" s="120">
        <v>5101</v>
      </c>
      <c r="E30" s="119">
        <v>633034</v>
      </c>
      <c r="F30" s="119">
        <v>688890</v>
      </c>
      <c r="G30" s="119">
        <v>539941</v>
      </c>
      <c r="H30" s="119">
        <v>615309</v>
      </c>
      <c r="I30" s="119">
        <v>483601</v>
      </c>
      <c r="J30" s="119">
        <v>516184</v>
      </c>
    </row>
    <row r="31" spans="1:16" x14ac:dyDescent="0.3">
      <c r="C31" s="93" t="s">
        <v>389</v>
      </c>
      <c r="D31" s="120">
        <v>5306</v>
      </c>
      <c r="E31" s="119">
        <v>699119</v>
      </c>
      <c r="F31" s="119">
        <v>718539</v>
      </c>
      <c r="G31" s="119">
        <v>524338</v>
      </c>
      <c r="H31" s="119">
        <v>685836</v>
      </c>
      <c r="I31" s="119">
        <v>513755</v>
      </c>
      <c r="J31" s="119">
        <v>497072</v>
      </c>
    </row>
    <row r="32" spans="1:16" x14ac:dyDescent="0.3">
      <c r="C32" s="93" t="s">
        <v>451</v>
      </c>
      <c r="D32" s="120">
        <v>5463</v>
      </c>
      <c r="E32" s="119">
        <v>697898</v>
      </c>
      <c r="F32" s="119">
        <v>777658</v>
      </c>
      <c r="G32" s="119">
        <v>518439</v>
      </c>
      <c r="H32" s="119">
        <v>686732</v>
      </c>
      <c r="I32" s="119">
        <v>552137</v>
      </c>
      <c r="J32" s="119">
        <v>498220</v>
      </c>
    </row>
    <row r="33" spans="3:10" x14ac:dyDescent="0.3">
      <c r="C33" s="93" t="s">
        <v>450</v>
      </c>
      <c r="D33" s="120">
        <v>5557</v>
      </c>
      <c r="E33" s="119">
        <v>770756</v>
      </c>
      <c r="F33" s="119">
        <v>811322</v>
      </c>
      <c r="G33" s="119">
        <v>446227</v>
      </c>
      <c r="H33" s="119">
        <v>753799</v>
      </c>
      <c r="I33" s="119">
        <v>575227</v>
      </c>
      <c r="J33" s="119">
        <v>427932</v>
      </c>
    </row>
    <row r="34" spans="3:10" x14ac:dyDescent="0.3">
      <c r="C34" s="93" t="s">
        <v>449</v>
      </c>
      <c r="D34" s="120">
        <v>5713</v>
      </c>
      <c r="E34" s="119">
        <v>792393</v>
      </c>
      <c r="F34" s="119">
        <v>854950</v>
      </c>
      <c r="G34" s="119">
        <v>437902</v>
      </c>
      <c r="H34" s="119">
        <v>778130</v>
      </c>
      <c r="I34" s="119">
        <v>609579</v>
      </c>
      <c r="J34" s="119">
        <v>423451</v>
      </c>
    </row>
    <row r="35" spans="3:10" x14ac:dyDescent="0.3">
      <c r="C35" s="93"/>
      <c r="D35" s="93"/>
      <c r="E35" s="93"/>
      <c r="F35" s="93"/>
      <c r="G35" s="93"/>
      <c r="H35" s="93"/>
      <c r="I35" s="93"/>
      <c r="J35" s="93"/>
    </row>
    <row r="36" spans="3:10" x14ac:dyDescent="0.3">
      <c r="C36" s="93"/>
      <c r="D36" s="93"/>
      <c r="E36" s="412" t="s">
        <v>457</v>
      </c>
      <c r="F36" s="412"/>
      <c r="G36" s="412"/>
      <c r="H36" s="412" t="s">
        <v>456</v>
      </c>
      <c r="I36" s="412"/>
      <c r="J36" s="412"/>
    </row>
    <row r="37" spans="3:10" x14ac:dyDescent="0.3">
      <c r="C37" s="93" t="s">
        <v>291</v>
      </c>
      <c r="D37" s="93" t="s">
        <v>455</v>
      </c>
      <c r="E37" s="93" t="s">
        <v>454</v>
      </c>
      <c r="F37" s="93" t="s">
        <v>453</v>
      </c>
      <c r="G37" s="93" t="s">
        <v>452</v>
      </c>
      <c r="H37" s="93" t="s">
        <v>454</v>
      </c>
      <c r="I37" s="93" t="s">
        <v>453</v>
      </c>
      <c r="J37" s="93" t="s">
        <v>452</v>
      </c>
    </row>
    <row r="38" spans="3:10" x14ac:dyDescent="0.3">
      <c r="C38" s="93" t="s">
        <v>393</v>
      </c>
      <c r="D38" s="120">
        <v>5026</v>
      </c>
      <c r="E38" s="119">
        <v>99880105</v>
      </c>
      <c r="F38" s="119">
        <v>108693064</v>
      </c>
      <c r="G38" s="119">
        <v>85191891</v>
      </c>
      <c r="H38" s="119">
        <v>82909276</v>
      </c>
      <c r="I38" s="119">
        <v>57455806</v>
      </c>
      <c r="J38" s="119">
        <v>80466126</v>
      </c>
    </row>
    <row r="39" spans="3:10" x14ac:dyDescent="0.3">
      <c r="C39" s="93" t="s">
        <v>389</v>
      </c>
      <c r="D39" s="120">
        <v>5177</v>
      </c>
      <c r="E39" s="119">
        <v>112208600</v>
      </c>
      <c r="F39" s="119">
        <v>115325510</v>
      </c>
      <c r="G39" s="119">
        <v>84156249</v>
      </c>
      <c r="H39" s="119">
        <v>90923301</v>
      </c>
      <c r="I39" s="119">
        <v>61101185</v>
      </c>
      <c r="J39" s="119">
        <v>79301443</v>
      </c>
    </row>
    <row r="40" spans="3:10" x14ac:dyDescent="0.3">
      <c r="C40" s="93" t="s">
        <v>451</v>
      </c>
      <c r="D40" s="120">
        <v>5436</v>
      </c>
      <c r="E40" s="119">
        <v>113310719</v>
      </c>
      <c r="F40" s="119">
        <v>126260553</v>
      </c>
      <c r="G40" s="119">
        <v>84173756</v>
      </c>
      <c r="H40" s="119">
        <v>93212117</v>
      </c>
      <c r="I40" s="119">
        <v>68847354</v>
      </c>
      <c r="J40" s="119">
        <v>80648307</v>
      </c>
    </row>
    <row r="41" spans="3:10" x14ac:dyDescent="0.3">
      <c r="C41" s="93" t="s">
        <v>450</v>
      </c>
      <c r="D41" s="120">
        <v>5490</v>
      </c>
      <c r="E41" s="119">
        <v>125725719</v>
      </c>
      <c r="F41" s="119">
        <v>132342845</v>
      </c>
      <c r="G41" s="119">
        <v>72788548</v>
      </c>
      <c r="H41" s="119">
        <v>103286192</v>
      </c>
      <c r="I41" s="119">
        <v>68402855</v>
      </c>
      <c r="J41" s="119">
        <v>69245784</v>
      </c>
    </row>
    <row r="42" spans="3:10" x14ac:dyDescent="0.3">
      <c r="C42" s="93" t="s">
        <v>449</v>
      </c>
      <c r="D42" s="120">
        <v>5624</v>
      </c>
      <c r="E42" s="119">
        <v>130744845</v>
      </c>
      <c r="F42" s="119">
        <v>141066750</v>
      </c>
      <c r="G42" s="119">
        <v>72253830</v>
      </c>
      <c r="H42" s="119">
        <v>108875939</v>
      </c>
      <c r="I42" s="119">
        <v>74429639</v>
      </c>
      <c r="J42" s="119">
        <v>68961151</v>
      </c>
    </row>
    <row r="59" spans="1:1" s="2" customFormat="1" x14ac:dyDescent="0.3">
      <c r="A59" s="2" t="s">
        <v>294</v>
      </c>
    </row>
  </sheetData>
  <mergeCells count="7">
    <mergeCell ref="E36:G36"/>
    <mergeCell ref="H36:J36"/>
    <mergeCell ref="C10:F10"/>
    <mergeCell ref="C22:J22"/>
    <mergeCell ref="L22:P22"/>
    <mergeCell ref="E28:G28"/>
    <mergeCell ref="H28:J28"/>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B167-076F-4801-9BE2-227E79E808BE}">
  <sheetPr>
    <tabColor theme="9" tint="0.59999389629810485"/>
  </sheetPr>
  <dimension ref="A1:P131"/>
  <sheetViews>
    <sheetView workbookViewId="0">
      <selection activeCell="O51" sqref="O51"/>
    </sheetView>
  </sheetViews>
  <sheetFormatPr defaultRowHeight="14.4" x14ac:dyDescent="0.3"/>
  <cols>
    <col min="3" max="10" width="13.6640625" customWidth="1"/>
    <col min="13" max="13" width="14.6640625" customWidth="1"/>
    <col min="14" max="14" width="14.109375" customWidth="1"/>
    <col min="15" max="15" width="16.33203125" customWidth="1"/>
    <col min="16" max="16" width="13.88671875" customWidth="1"/>
  </cols>
  <sheetData>
    <row r="1" spans="1:8" ht="15" thickBot="1" x14ac:dyDescent="0.35">
      <c r="A1" t="s">
        <v>462</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21" spans="1:16" ht="15" thickBot="1" x14ac:dyDescent="0.35"/>
    <row r="22" spans="1:16" ht="15" thickBot="1" x14ac:dyDescent="0.35">
      <c r="C22" s="399" t="s">
        <v>10</v>
      </c>
      <c r="D22" s="400"/>
      <c r="E22" s="400"/>
      <c r="F22" s="400"/>
      <c r="G22" s="400"/>
      <c r="H22" s="400"/>
      <c r="I22" s="400"/>
      <c r="J22" s="401"/>
      <c r="L22" s="399" t="s">
        <v>0</v>
      </c>
      <c r="M22" s="400"/>
      <c r="N22" s="400"/>
      <c r="O22" s="400"/>
      <c r="P22" s="401"/>
    </row>
    <row r="23" spans="1:16" s="2" customFormat="1" x14ac:dyDescent="0.3">
      <c r="A23" s="2" t="s">
        <v>4</v>
      </c>
    </row>
    <row r="25" spans="1:16" x14ac:dyDescent="0.3">
      <c r="C25" t="s">
        <v>461</v>
      </c>
    </row>
    <row r="26" spans="1:16" x14ac:dyDescent="0.3">
      <c r="C26" t="s">
        <v>460</v>
      </c>
    </row>
    <row r="28" spans="1:16" x14ac:dyDescent="0.3">
      <c r="E28" s="412" t="s">
        <v>459</v>
      </c>
      <c r="F28" s="412"/>
      <c r="G28" s="412"/>
      <c r="H28" s="412" t="s">
        <v>458</v>
      </c>
      <c r="I28" s="412"/>
      <c r="J28" s="412"/>
      <c r="L28" t="s">
        <v>771</v>
      </c>
    </row>
    <row r="29" spans="1:16" x14ac:dyDescent="0.3">
      <c r="C29" s="93" t="s">
        <v>291</v>
      </c>
      <c r="D29" s="93" t="s">
        <v>455</v>
      </c>
      <c r="E29" s="93" t="s">
        <v>454</v>
      </c>
      <c r="F29" s="93" t="s">
        <v>453</v>
      </c>
      <c r="G29" s="93" t="s">
        <v>452</v>
      </c>
      <c r="H29" s="93" t="s">
        <v>454</v>
      </c>
      <c r="I29" s="93" t="s">
        <v>453</v>
      </c>
      <c r="J29" s="93" t="s">
        <v>452</v>
      </c>
      <c r="M29" t="s">
        <v>762</v>
      </c>
      <c r="N29" s="11">
        <f>SUM(H30:H34)/SUM(E30:E34)</f>
        <v>0.97957419570299453</v>
      </c>
    </row>
    <row r="30" spans="1:16" x14ac:dyDescent="0.3">
      <c r="C30" s="93" t="s">
        <v>393</v>
      </c>
      <c r="D30" s="120">
        <v>5101</v>
      </c>
      <c r="E30" s="119">
        <v>633034</v>
      </c>
      <c r="F30" s="119">
        <v>688890</v>
      </c>
      <c r="G30" s="119">
        <v>539941</v>
      </c>
      <c r="H30" s="119">
        <v>615309</v>
      </c>
      <c r="I30" s="119">
        <v>483601</v>
      </c>
      <c r="J30" s="119">
        <v>516184</v>
      </c>
      <c r="M30" t="s">
        <v>761</v>
      </c>
      <c r="N30" s="11">
        <f>SUM(I30:I34)/SUM(F30:F34)</f>
        <v>0.70995692689255918</v>
      </c>
    </row>
    <row r="31" spans="1:16" x14ac:dyDescent="0.3">
      <c r="C31" s="93" t="s">
        <v>389</v>
      </c>
      <c r="D31" s="120">
        <v>5306</v>
      </c>
      <c r="E31" s="119">
        <v>699119</v>
      </c>
      <c r="F31" s="119">
        <v>718539</v>
      </c>
      <c r="G31" s="119">
        <v>524338</v>
      </c>
      <c r="H31" s="119">
        <v>685836</v>
      </c>
      <c r="I31" s="119">
        <v>513755</v>
      </c>
      <c r="J31" s="119">
        <v>497072</v>
      </c>
      <c r="M31" t="s">
        <v>760</v>
      </c>
      <c r="N31" s="11">
        <f>SUM(J30:J34)/SUM(G30:G34)</f>
        <v>0.95784578451764535</v>
      </c>
    </row>
    <row r="32" spans="1:16" x14ac:dyDescent="0.3">
      <c r="C32" s="93" t="s">
        <v>451</v>
      </c>
      <c r="D32" s="120">
        <v>5463</v>
      </c>
      <c r="E32" s="119">
        <v>697898</v>
      </c>
      <c r="F32" s="119">
        <v>777658</v>
      </c>
      <c r="G32" s="119">
        <v>518439</v>
      </c>
      <c r="H32" s="119">
        <v>686732</v>
      </c>
      <c r="I32" s="119">
        <v>552137</v>
      </c>
      <c r="J32" s="119">
        <v>498220</v>
      </c>
    </row>
    <row r="33" spans="3:14" x14ac:dyDescent="0.3">
      <c r="C33" s="93" t="s">
        <v>450</v>
      </c>
      <c r="D33" s="120">
        <v>5557</v>
      </c>
      <c r="E33" s="119">
        <v>770756</v>
      </c>
      <c r="F33" s="119">
        <v>811322</v>
      </c>
      <c r="G33" s="119">
        <v>446227</v>
      </c>
      <c r="H33" s="119">
        <v>753799</v>
      </c>
      <c r="I33" s="119">
        <v>575227</v>
      </c>
      <c r="J33" s="119">
        <v>427932</v>
      </c>
      <c r="L33" t="s">
        <v>770</v>
      </c>
    </row>
    <row r="34" spans="3:14" x14ac:dyDescent="0.3">
      <c r="C34" s="93" t="s">
        <v>449</v>
      </c>
      <c r="D34" s="120">
        <v>5713</v>
      </c>
      <c r="E34" s="119">
        <v>792393</v>
      </c>
      <c r="F34" s="119">
        <v>854950</v>
      </c>
      <c r="G34" s="119">
        <v>437902</v>
      </c>
      <c r="H34" s="119">
        <v>778130</v>
      </c>
      <c r="I34" s="119">
        <v>609579</v>
      </c>
      <c r="J34" s="119">
        <v>423451</v>
      </c>
    </row>
    <row r="35" spans="3:14" x14ac:dyDescent="0.3">
      <c r="C35" s="93"/>
      <c r="D35" s="93"/>
      <c r="E35" s="93"/>
      <c r="F35" s="93"/>
      <c r="G35" s="93"/>
      <c r="H35" s="93"/>
      <c r="I35" s="93"/>
      <c r="J35" s="93"/>
      <c r="M35" t="s">
        <v>762</v>
      </c>
      <c r="N35" s="73">
        <f>SUM(H38:H42)/SUM(E38:E42)</f>
        <v>0.823563398839536</v>
      </c>
    </row>
    <row r="36" spans="3:14" x14ac:dyDescent="0.3">
      <c r="C36" s="93"/>
      <c r="D36" s="93"/>
      <c r="E36" s="412" t="s">
        <v>457</v>
      </c>
      <c r="F36" s="412"/>
      <c r="G36" s="412"/>
      <c r="H36" s="412" t="s">
        <v>456</v>
      </c>
      <c r="I36" s="412"/>
      <c r="J36" s="412"/>
      <c r="M36" t="s">
        <v>761</v>
      </c>
      <c r="N36" s="73">
        <f>SUM(I38:I42)/SUM(F38:F42)</f>
        <v>0.52948983579664599</v>
      </c>
    </row>
    <row r="37" spans="3:14" x14ac:dyDescent="0.3">
      <c r="C37" s="93" t="s">
        <v>291</v>
      </c>
      <c r="D37" s="93" t="s">
        <v>455</v>
      </c>
      <c r="E37" s="93" t="s">
        <v>454</v>
      </c>
      <c r="F37" s="93" t="s">
        <v>453</v>
      </c>
      <c r="G37" s="93" t="s">
        <v>452</v>
      </c>
      <c r="H37" s="93" t="s">
        <v>454</v>
      </c>
      <c r="I37" s="93" t="s">
        <v>453</v>
      </c>
      <c r="J37" s="93" t="s">
        <v>452</v>
      </c>
      <c r="M37" t="s">
        <v>760</v>
      </c>
      <c r="N37" s="73">
        <f>SUM(J38:J42)/SUM(G38:G42)</f>
        <v>0.94996675743195191</v>
      </c>
    </row>
    <row r="38" spans="3:14" x14ac:dyDescent="0.3">
      <c r="C38" s="93" t="s">
        <v>393</v>
      </c>
      <c r="D38" s="120">
        <v>5026</v>
      </c>
      <c r="E38" s="119">
        <v>99880105</v>
      </c>
      <c r="F38" s="119">
        <v>108693064</v>
      </c>
      <c r="G38" s="119">
        <v>85191891</v>
      </c>
      <c r="H38" s="119">
        <v>82909276</v>
      </c>
      <c r="I38" s="119">
        <v>57455806</v>
      </c>
      <c r="J38" s="119">
        <v>80466126</v>
      </c>
    </row>
    <row r="39" spans="3:14" x14ac:dyDescent="0.3">
      <c r="C39" s="93" t="s">
        <v>389</v>
      </c>
      <c r="D39" s="120">
        <v>5177</v>
      </c>
      <c r="E39" s="119">
        <v>112208600</v>
      </c>
      <c r="F39" s="119">
        <v>115325510</v>
      </c>
      <c r="G39" s="119">
        <v>84156249</v>
      </c>
      <c r="H39" s="119">
        <v>90923301</v>
      </c>
      <c r="I39" s="119">
        <v>61101185</v>
      </c>
      <c r="J39" s="119">
        <v>79301443</v>
      </c>
    </row>
    <row r="40" spans="3:14" x14ac:dyDescent="0.3">
      <c r="C40" s="93" t="s">
        <v>451</v>
      </c>
      <c r="D40" s="120">
        <v>5436</v>
      </c>
      <c r="E40" s="119">
        <v>113310719</v>
      </c>
      <c r="F40" s="119">
        <v>126260553</v>
      </c>
      <c r="G40" s="119">
        <v>84173756</v>
      </c>
      <c r="H40" s="119">
        <v>93212117</v>
      </c>
      <c r="I40" s="119">
        <v>68847354</v>
      </c>
      <c r="J40" s="119">
        <v>80648307</v>
      </c>
    </row>
    <row r="41" spans="3:14" x14ac:dyDescent="0.3">
      <c r="C41" s="93" t="s">
        <v>450</v>
      </c>
      <c r="D41" s="120">
        <v>5490</v>
      </c>
      <c r="E41" s="119">
        <v>125725719</v>
      </c>
      <c r="F41" s="119">
        <v>132342845</v>
      </c>
      <c r="G41" s="119">
        <v>72788548</v>
      </c>
      <c r="H41" s="119">
        <v>103286192</v>
      </c>
      <c r="I41" s="119">
        <v>68402855</v>
      </c>
      <c r="J41" s="119">
        <v>69245784</v>
      </c>
      <c r="L41" t="s">
        <v>769</v>
      </c>
    </row>
    <row r="42" spans="3:14" x14ac:dyDescent="0.3">
      <c r="C42" s="93" t="s">
        <v>449</v>
      </c>
      <c r="D42" s="120">
        <v>5624</v>
      </c>
      <c r="E42" s="119">
        <v>130744845</v>
      </c>
      <c r="F42" s="119">
        <v>141066750</v>
      </c>
      <c r="G42" s="119">
        <v>72253830</v>
      </c>
      <c r="H42" s="119">
        <v>108875939</v>
      </c>
      <c r="I42" s="119">
        <v>74429639</v>
      </c>
      <c r="J42" s="119">
        <v>68961151</v>
      </c>
      <c r="L42" t="s">
        <v>768</v>
      </c>
    </row>
    <row r="44" spans="3:14" x14ac:dyDescent="0.3">
      <c r="M44" t="s">
        <v>762</v>
      </c>
      <c r="N44" s="11">
        <f>N35/N29</f>
        <v>0.84073611008965288</v>
      </c>
    </row>
    <row r="45" spans="3:14" x14ac:dyDescent="0.3">
      <c r="M45" t="s">
        <v>761</v>
      </c>
      <c r="N45" s="11">
        <f>N36/N30</f>
        <v>0.74580557740903053</v>
      </c>
    </row>
    <row r="46" spans="3:14" x14ac:dyDescent="0.3">
      <c r="M46" t="s">
        <v>760</v>
      </c>
      <c r="N46" s="11">
        <f>N37/N31</f>
        <v>0.99177422168260498</v>
      </c>
    </row>
    <row r="51" spans="1:15" x14ac:dyDescent="0.3">
      <c r="L51" t="s">
        <v>767</v>
      </c>
    </row>
    <row r="52" spans="1:15" x14ac:dyDescent="0.3">
      <c r="L52" t="s">
        <v>766</v>
      </c>
    </row>
    <row r="53" spans="1:15" x14ac:dyDescent="0.3">
      <c r="L53" t="s">
        <v>765</v>
      </c>
    </row>
    <row r="54" spans="1:15" x14ac:dyDescent="0.3">
      <c r="N54" t="s">
        <v>764</v>
      </c>
      <c r="O54" t="s">
        <v>763</v>
      </c>
    </row>
    <row r="55" spans="1:15" x14ac:dyDescent="0.3">
      <c r="M55" t="s">
        <v>762</v>
      </c>
      <c r="N55" s="11">
        <f>SUM(H32:H34)/SUM(E32:E34)</f>
        <v>0.98125381736867923</v>
      </c>
      <c r="O55" s="11">
        <f>(SUM(H40:H42)/SUM(E40:E42))/N55</f>
        <v>0.84160077408871192</v>
      </c>
    </row>
    <row r="56" spans="1:15" x14ac:dyDescent="0.3">
      <c r="M56" t="s">
        <v>761</v>
      </c>
      <c r="N56" s="11">
        <f>SUM(I32:I34)/SUM(F32:F34)</f>
        <v>0.71071716456690659</v>
      </c>
      <c r="O56" s="11">
        <f>(SUM(I40:I42)/SUM(F40:F42))/N56</f>
        <v>0.74521399010515588</v>
      </c>
    </row>
    <row r="57" spans="1:15" x14ac:dyDescent="0.3">
      <c r="M57" t="s">
        <v>760</v>
      </c>
      <c r="N57" s="11">
        <f>SUM(J32:J34)/SUM(G32:G34)</f>
        <v>0.96223712504491765</v>
      </c>
      <c r="O57" s="11">
        <f>(SUM(J40:J42)/SUM(G40:G42))/N57</f>
        <v>0.9922695426300453</v>
      </c>
    </row>
    <row r="59" spans="1:15" s="2" customFormat="1" x14ac:dyDescent="0.3">
      <c r="A59" s="2" t="s">
        <v>294</v>
      </c>
    </row>
    <row r="63" spans="1:15" x14ac:dyDescent="0.3">
      <c r="L63" t="s">
        <v>759</v>
      </c>
    </row>
    <row r="66" spans="12:16" x14ac:dyDescent="0.3">
      <c r="M66" t="s">
        <v>758</v>
      </c>
    </row>
    <row r="67" spans="12:16" x14ac:dyDescent="0.3">
      <c r="M67" s="93" t="s">
        <v>291</v>
      </c>
      <c r="N67" t="s">
        <v>454</v>
      </c>
      <c r="O67" t="s">
        <v>453</v>
      </c>
      <c r="P67" t="s">
        <v>452</v>
      </c>
    </row>
    <row r="68" spans="12:16" x14ac:dyDescent="0.3">
      <c r="M68" s="93" t="s">
        <v>393</v>
      </c>
      <c r="N68" s="73">
        <f t="shared" ref="N68:P72" si="0">H30/E30</f>
        <v>0.97199992417468883</v>
      </c>
      <c r="O68" s="73">
        <f t="shared" si="0"/>
        <v>0.70200031935432361</v>
      </c>
      <c r="P68" s="73">
        <f t="shared" si="0"/>
        <v>0.95600074822989922</v>
      </c>
    </row>
    <row r="69" spans="12:16" x14ac:dyDescent="0.3">
      <c r="M69" s="93" t="s">
        <v>389</v>
      </c>
      <c r="N69" s="73">
        <f t="shared" si="0"/>
        <v>0.98100037332700152</v>
      </c>
      <c r="O69" s="73">
        <f t="shared" si="0"/>
        <v>0.71499946419053106</v>
      </c>
      <c r="P69" s="73">
        <f t="shared" si="0"/>
        <v>0.94799919136129751</v>
      </c>
    </row>
    <row r="70" spans="12:16" x14ac:dyDescent="0.3">
      <c r="M70" s="93" t="s">
        <v>451</v>
      </c>
      <c r="N70" s="73">
        <f t="shared" si="0"/>
        <v>0.98400052729768539</v>
      </c>
      <c r="O70" s="73">
        <f t="shared" si="0"/>
        <v>0.70999976853578306</v>
      </c>
      <c r="P70" s="73">
        <f t="shared" si="0"/>
        <v>0.96100023339293528</v>
      </c>
    </row>
    <row r="71" spans="12:16" x14ac:dyDescent="0.3">
      <c r="M71" s="93" t="s">
        <v>450</v>
      </c>
      <c r="N71" s="73">
        <f t="shared" si="0"/>
        <v>0.97799952254669442</v>
      </c>
      <c r="O71" s="73">
        <f t="shared" si="0"/>
        <v>0.70899963269823818</v>
      </c>
      <c r="P71" s="73">
        <f t="shared" si="0"/>
        <v>0.95900068799064153</v>
      </c>
    </row>
    <row r="72" spans="12:16" x14ac:dyDescent="0.3">
      <c r="M72" s="192" t="s">
        <v>449</v>
      </c>
      <c r="N72" s="73">
        <f t="shared" si="0"/>
        <v>0.9820000933880032</v>
      </c>
      <c r="O72" s="73">
        <f t="shared" si="0"/>
        <v>0.71299959061933449</v>
      </c>
      <c r="P72" s="73">
        <f t="shared" si="0"/>
        <v>0.9669994656338633</v>
      </c>
    </row>
    <row r="76" spans="12:16" x14ac:dyDescent="0.3">
      <c r="L76" s="93"/>
      <c r="M76" s="93"/>
      <c r="N76" s="412" t="s">
        <v>457</v>
      </c>
      <c r="O76" s="412"/>
      <c r="P76" s="412"/>
    </row>
    <row r="77" spans="12:16" x14ac:dyDescent="0.3">
      <c r="M77" s="93" t="s">
        <v>291</v>
      </c>
      <c r="N77" s="93" t="s">
        <v>454</v>
      </c>
      <c r="O77" s="93" t="s">
        <v>453</v>
      </c>
      <c r="P77" s="93" t="s">
        <v>452</v>
      </c>
    </row>
    <row r="78" spans="12:16" x14ac:dyDescent="0.3">
      <c r="M78" s="93" t="s">
        <v>393</v>
      </c>
      <c r="N78" s="119">
        <f t="shared" ref="N78:P82" si="1">E38</f>
        <v>99880105</v>
      </c>
      <c r="O78" s="119">
        <f t="shared" si="1"/>
        <v>108693064</v>
      </c>
      <c r="P78" s="119">
        <f t="shared" si="1"/>
        <v>85191891</v>
      </c>
    </row>
    <row r="79" spans="12:16" x14ac:dyDescent="0.3">
      <c r="M79" s="93" t="s">
        <v>389</v>
      </c>
      <c r="N79" s="119">
        <f t="shared" si="1"/>
        <v>112208600</v>
      </c>
      <c r="O79" s="119">
        <f t="shared" si="1"/>
        <v>115325510</v>
      </c>
      <c r="P79" s="119">
        <f t="shared" si="1"/>
        <v>84156249</v>
      </c>
    </row>
    <row r="80" spans="12:16" x14ac:dyDescent="0.3">
      <c r="M80" s="93" t="s">
        <v>451</v>
      </c>
      <c r="N80" s="119">
        <f t="shared" si="1"/>
        <v>113310719</v>
      </c>
      <c r="O80" s="119">
        <f t="shared" si="1"/>
        <v>126260553</v>
      </c>
      <c r="P80" s="119">
        <f t="shared" si="1"/>
        <v>84173756</v>
      </c>
    </row>
    <row r="81" spans="13:16" x14ac:dyDescent="0.3">
      <c r="M81" s="93" t="s">
        <v>450</v>
      </c>
      <c r="N81" s="119">
        <f t="shared" si="1"/>
        <v>125725719</v>
      </c>
      <c r="O81" s="119">
        <f t="shared" si="1"/>
        <v>132342845</v>
      </c>
      <c r="P81" s="119">
        <f t="shared" si="1"/>
        <v>72788548</v>
      </c>
    </row>
    <row r="82" spans="13:16" x14ac:dyDescent="0.3">
      <c r="M82" s="192" t="s">
        <v>449</v>
      </c>
      <c r="N82" s="190">
        <f t="shared" si="1"/>
        <v>130744845</v>
      </c>
      <c r="O82" s="190">
        <f t="shared" si="1"/>
        <v>141066750</v>
      </c>
      <c r="P82" s="190">
        <f t="shared" si="1"/>
        <v>72253830</v>
      </c>
    </row>
    <row r="83" spans="13:16" x14ac:dyDescent="0.3">
      <c r="M83" s="93"/>
      <c r="N83" s="119">
        <f>SUM(N78:N82)</f>
        <v>581869988</v>
      </c>
      <c r="O83" s="119">
        <f>SUM(O78:O82)</f>
        <v>623688722</v>
      </c>
      <c r="P83" s="119">
        <f>SUM(P78:P82)</f>
        <v>398564274</v>
      </c>
    </row>
    <row r="85" spans="13:16" x14ac:dyDescent="0.3">
      <c r="N85" s="412" t="s">
        <v>757</v>
      </c>
      <c r="O85" s="412"/>
      <c r="P85" s="412"/>
    </row>
    <row r="86" spans="13:16" x14ac:dyDescent="0.3">
      <c r="M86" s="93" t="s">
        <v>291</v>
      </c>
      <c r="N86" s="93" t="s">
        <v>454</v>
      </c>
      <c r="O86" s="93" t="s">
        <v>453</v>
      </c>
      <c r="P86" s="93" t="s">
        <v>452</v>
      </c>
    </row>
    <row r="87" spans="13:16" x14ac:dyDescent="0.3">
      <c r="M87" s="93" t="s">
        <v>393</v>
      </c>
      <c r="N87" s="41">
        <f t="shared" ref="N87:P91" si="2">N78*N68</f>
        <v>97083454.486559957</v>
      </c>
      <c r="O87" s="41">
        <f t="shared" si="2"/>
        <v>76302565.639599934</v>
      </c>
      <c r="P87" s="41">
        <f t="shared" si="2"/>
        <v>81443511.539120018</v>
      </c>
    </row>
    <row r="88" spans="13:16" x14ac:dyDescent="0.3">
      <c r="M88" s="93" t="s">
        <v>389</v>
      </c>
      <c r="N88" s="41">
        <f t="shared" si="2"/>
        <v>110076678.49050018</v>
      </c>
      <c r="O88" s="41">
        <f t="shared" si="2"/>
        <v>82457677.857499734</v>
      </c>
      <c r="P88" s="41">
        <f t="shared" si="2"/>
        <v>79780056</v>
      </c>
    </row>
    <row r="89" spans="13:16" x14ac:dyDescent="0.3">
      <c r="M89" s="93" t="s">
        <v>451</v>
      </c>
      <c r="N89" s="41">
        <f t="shared" si="2"/>
        <v>111497807.24447986</v>
      </c>
      <c r="O89" s="41">
        <f t="shared" si="2"/>
        <v>89644963.405199975</v>
      </c>
      <c r="P89" s="41">
        <f t="shared" si="2"/>
        <v>80890999.161559984</v>
      </c>
    </row>
    <row r="90" spans="13:16" x14ac:dyDescent="0.3">
      <c r="M90" s="93" t="s">
        <v>450</v>
      </c>
      <c r="N90" s="41">
        <f t="shared" si="2"/>
        <v>122959693.15383987</v>
      </c>
      <c r="O90" s="41">
        <f t="shared" si="2"/>
        <v>93831028.495239869</v>
      </c>
      <c r="P90" s="41">
        <f t="shared" si="2"/>
        <v>69804267.609839842</v>
      </c>
    </row>
    <row r="91" spans="13:16" x14ac:dyDescent="0.3">
      <c r="M91" s="192" t="s">
        <v>449</v>
      </c>
      <c r="N91" s="241">
        <f t="shared" si="2"/>
        <v>128391450</v>
      </c>
      <c r="O91" s="241">
        <f t="shared" si="2"/>
        <v>100580535</v>
      </c>
      <c r="P91" s="241">
        <f t="shared" si="2"/>
        <v>69869415</v>
      </c>
    </row>
    <row r="92" spans="13:16" x14ac:dyDescent="0.3">
      <c r="M92" s="93"/>
      <c r="N92" s="41">
        <f>SUM(N87:N91)</f>
        <v>570009083.3753798</v>
      </c>
      <c r="O92" s="41">
        <f>SUM(O87:O91)</f>
        <v>442816770.3975395</v>
      </c>
      <c r="P92" s="41">
        <f>SUM(P87:P91)</f>
        <v>381788249.31051987</v>
      </c>
    </row>
    <row r="94" spans="13:16" x14ac:dyDescent="0.3">
      <c r="N94" s="412" t="s">
        <v>754</v>
      </c>
      <c r="O94" s="412"/>
      <c r="P94" s="412"/>
    </row>
    <row r="95" spans="13:16" x14ac:dyDescent="0.3">
      <c r="M95" s="93" t="s">
        <v>291</v>
      </c>
      <c r="N95" s="93" t="s">
        <v>454</v>
      </c>
      <c r="O95" s="93" t="s">
        <v>453</v>
      </c>
      <c r="P95" s="93" t="s">
        <v>452</v>
      </c>
    </row>
    <row r="96" spans="13:16" x14ac:dyDescent="0.3">
      <c r="M96" s="93" t="s">
        <v>393</v>
      </c>
      <c r="N96" s="41">
        <f t="shared" ref="N96:P100" si="3">N87-H38</f>
        <v>14174178.486559957</v>
      </c>
      <c r="O96" s="41">
        <f t="shared" si="3"/>
        <v>18846759.639599934</v>
      </c>
      <c r="P96" s="41">
        <f t="shared" si="3"/>
        <v>977385.53912001848</v>
      </c>
    </row>
    <row r="97" spans="12:16" x14ac:dyDescent="0.3">
      <c r="M97" s="93" t="s">
        <v>389</v>
      </c>
      <c r="N97" s="41">
        <f t="shared" si="3"/>
        <v>19153377.490500182</v>
      </c>
      <c r="O97" s="41">
        <f t="shared" si="3"/>
        <v>21356492.857499734</v>
      </c>
      <c r="P97" s="41">
        <f t="shared" si="3"/>
        <v>478613</v>
      </c>
    </row>
    <row r="98" spans="12:16" x14ac:dyDescent="0.3">
      <c r="M98" s="93" t="s">
        <v>451</v>
      </c>
      <c r="N98" s="41">
        <f t="shared" si="3"/>
        <v>18285690.244479865</v>
      </c>
      <c r="O98" s="41">
        <f t="shared" si="3"/>
        <v>20797609.405199975</v>
      </c>
      <c r="P98" s="41">
        <f t="shared" si="3"/>
        <v>242692.16155998409</v>
      </c>
    </row>
    <row r="99" spans="12:16" x14ac:dyDescent="0.3">
      <c r="M99" s="93" t="s">
        <v>450</v>
      </c>
      <c r="N99" s="41">
        <f t="shared" si="3"/>
        <v>19673501.153839871</v>
      </c>
      <c r="O99" s="41">
        <f t="shared" si="3"/>
        <v>25428173.495239869</v>
      </c>
      <c r="P99" s="41">
        <f t="shared" si="3"/>
        <v>558483.60983984172</v>
      </c>
    </row>
    <row r="100" spans="12:16" x14ac:dyDescent="0.3">
      <c r="M100" s="192" t="s">
        <v>449</v>
      </c>
      <c r="N100" s="241">
        <f t="shared" si="3"/>
        <v>19515511</v>
      </c>
      <c r="O100" s="241">
        <f t="shared" si="3"/>
        <v>26150896</v>
      </c>
      <c r="P100" s="241">
        <f t="shared" si="3"/>
        <v>908264</v>
      </c>
    </row>
    <row r="101" spans="12:16" x14ac:dyDescent="0.3">
      <c r="N101" s="133">
        <f>SUM(N96:N100)</f>
        <v>90802258.375379875</v>
      </c>
      <c r="O101" s="133">
        <f>SUM(O96:O100)</f>
        <v>112579931.39753951</v>
      </c>
      <c r="P101" s="133">
        <f>SUM(P96:P100)</f>
        <v>3165438.3105198443</v>
      </c>
    </row>
    <row r="103" spans="12:16" x14ac:dyDescent="0.3">
      <c r="L103" t="s">
        <v>756</v>
      </c>
    </row>
    <row r="106" spans="12:16" x14ac:dyDescent="0.3">
      <c r="M106" s="93"/>
      <c r="N106" s="412" t="s">
        <v>457</v>
      </c>
      <c r="O106" s="412"/>
      <c r="P106" s="412"/>
    </row>
    <row r="107" spans="12:16" x14ac:dyDescent="0.3">
      <c r="M107" s="93" t="s">
        <v>291</v>
      </c>
      <c r="N107" s="93" t="s">
        <v>454</v>
      </c>
      <c r="O107" s="93" t="s">
        <v>453</v>
      </c>
      <c r="P107" s="93" t="s">
        <v>452</v>
      </c>
    </row>
    <row r="108" spans="12:16" x14ac:dyDescent="0.3">
      <c r="M108" s="93" t="s">
        <v>393</v>
      </c>
      <c r="N108" s="119">
        <f t="shared" ref="N108:P112" si="4">E38</f>
        <v>99880105</v>
      </c>
      <c r="O108" s="119">
        <f t="shared" si="4"/>
        <v>108693064</v>
      </c>
      <c r="P108" s="119">
        <f t="shared" si="4"/>
        <v>85191891</v>
      </c>
    </row>
    <row r="109" spans="12:16" x14ac:dyDescent="0.3">
      <c r="M109" s="93" t="s">
        <v>389</v>
      </c>
      <c r="N109" s="119">
        <f t="shared" si="4"/>
        <v>112208600</v>
      </c>
      <c r="O109" s="119">
        <f t="shared" si="4"/>
        <v>115325510</v>
      </c>
      <c r="P109" s="119">
        <f t="shared" si="4"/>
        <v>84156249</v>
      </c>
    </row>
    <row r="110" spans="12:16" x14ac:dyDescent="0.3">
      <c r="M110" s="93" t="s">
        <v>451</v>
      </c>
      <c r="N110" s="119">
        <f t="shared" si="4"/>
        <v>113310719</v>
      </c>
      <c r="O110" s="119">
        <f t="shared" si="4"/>
        <v>126260553</v>
      </c>
      <c r="P110" s="119">
        <f t="shared" si="4"/>
        <v>84173756</v>
      </c>
    </row>
    <row r="111" spans="12:16" x14ac:dyDescent="0.3">
      <c r="M111" s="93" t="s">
        <v>450</v>
      </c>
      <c r="N111" s="119">
        <f t="shared" si="4"/>
        <v>125725719</v>
      </c>
      <c r="O111" s="119">
        <f t="shared" si="4"/>
        <v>132342845</v>
      </c>
      <c r="P111" s="119">
        <f t="shared" si="4"/>
        <v>72788548</v>
      </c>
    </row>
    <row r="112" spans="12:16" x14ac:dyDescent="0.3">
      <c r="M112" s="192" t="s">
        <v>449</v>
      </c>
      <c r="N112" s="190">
        <f t="shared" si="4"/>
        <v>130744845</v>
      </c>
      <c r="O112" s="190">
        <f t="shared" si="4"/>
        <v>141066750</v>
      </c>
      <c r="P112" s="190">
        <f t="shared" si="4"/>
        <v>72253830</v>
      </c>
    </row>
    <row r="113" spans="13:16" x14ac:dyDescent="0.3">
      <c r="M113" s="93"/>
      <c r="N113" s="119">
        <f>SUM(N108:N112)</f>
        <v>581869988</v>
      </c>
      <c r="O113" s="119">
        <f>SUM(O108:O112)</f>
        <v>623688722</v>
      </c>
      <c r="P113" s="119">
        <f>SUM(P108:P112)</f>
        <v>398564274</v>
      </c>
    </row>
    <row r="115" spans="13:16" x14ac:dyDescent="0.3">
      <c r="N115" s="412" t="s">
        <v>755</v>
      </c>
      <c r="O115" s="412"/>
      <c r="P115" s="412"/>
    </row>
    <row r="116" spans="13:16" x14ac:dyDescent="0.3">
      <c r="M116" s="93" t="s">
        <v>291</v>
      </c>
      <c r="N116" s="93" t="s">
        <v>454</v>
      </c>
      <c r="O116" s="93" t="s">
        <v>453</v>
      </c>
      <c r="P116" s="93" t="s">
        <v>452</v>
      </c>
    </row>
    <row r="117" spans="13:16" x14ac:dyDescent="0.3">
      <c r="M117" s="93" t="s">
        <v>393</v>
      </c>
      <c r="N117" s="41">
        <f t="shared" ref="N117:P121" si="5">N108</f>
        <v>99880105</v>
      </c>
      <c r="O117" s="41">
        <f t="shared" si="5"/>
        <v>108693064</v>
      </c>
      <c r="P117" s="41">
        <f t="shared" si="5"/>
        <v>85191891</v>
      </c>
    </row>
    <row r="118" spans="13:16" x14ac:dyDescent="0.3">
      <c r="M118" s="93" t="s">
        <v>389</v>
      </c>
      <c r="N118" s="41">
        <f t="shared" si="5"/>
        <v>112208600</v>
      </c>
      <c r="O118" s="41">
        <f t="shared" si="5"/>
        <v>115325510</v>
      </c>
      <c r="P118" s="41">
        <f t="shared" si="5"/>
        <v>84156249</v>
      </c>
    </row>
    <row r="119" spans="13:16" x14ac:dyDescent="0.3">
      <c r="M119" s="93" t="s">
        <v>451</v>
      </c>
      <c r="N119" s="41">
        <f t="shared" si="5"/>
        <v>113310719</v>
      </c>
      <c r="O119" s="41">
        <f t="shared" si="5"/>
        <v>126260553</v>
      </c>
      <c r="P119" s="41">
        <f t="shared" si="5"/>
        <v>84173756</v>
      </c>
    </row>
    <row r="120" spans="13:16" x14ac:dyDescent="0.3">
      <c r="M120" s="93" t="s">
        <v>450</v>
      </c>
      <c r="N120" s="41">
        <f t="shared" si="5"/>
        <v>125725719</v>
      </c>
      <c r="O120" s="41">
        <f t="shared" si="5"/>
        <v>132342845</v>
      </c>
      <c r="P120" s="41">
        <f t="shared" si="5"/>
        <v>72788548</v>
      </c>
    </row>
    <row r="121" spans="13:16" x14ac:dyDescent="0.3">
      <c r="M121" s="192" t="s">
        <v>449</v>
      </c>
      <c r="N121" s="241">
        <f t="shared" si="5"/>
        <v>130744845</v>
      </c>
      <c r="O121" s="241">
        <f t="shared" si="5"/>
        <v>141066750</v>
      </c>
      <c r="P121" s="241">
        <f t="shared" si="5"/>
        <v>72253830</v>
      </c>
    </row>
    <row r="122" spans="13:16" x14ac:dyDescent="0.3">
      <c r="M122" s="93"/>
      <c r="N122" s="41">
        <f>SUM(N117:N121)</f>
        <v>581869988</v>
      </c>
      <c r="O122" s="41">
        <f>SUM(O117:O121)</f>
        <v>623688722</v>
      </c>
      <c r="P122" s="41">
        <f>SUM(P117:P121)</f>
        <v>398564274</v>
      </c>
    </row>
    <row r="124" spans="13:16" x14ac:dyDescent="0.3">
      <c r="N124" s="412" t="s">
        <v>754</v>
      </c>
      <c r="O124" s="412"/>
      <c r="P124" s="412"/>
    </row>
    <row r="125" spans="13:16" x14ac:dyDescent="0.3">
      <c r="M125" s="93" t="s">
        <v>291</v>
      </c>
      <c r="N125" s="93" t="s">
        <v>454</v>
      </c>
      <c r="O125" s="93" t="s">
        <v>453</v>
      </c>
      <c r="P125" s="93" t="s">
        <v>452</v>
      </c>
    </row>
    <row r="126" spans="13:16" x14ac:dyDescent="0.3">
      <c r="M126" s="93" t="s">
        <v>393</v>
      </c>
      <c r="N126" s="41">
        <f t="shared" ref="N126:P130" si="6">N117-H38</f>
        <v>16970829</v>
      </c>
      <c r="O126" s="41">
        <f t="shared" si="6"/>
        <v>51237258</v>
      </c>
      <c r="P126" s="41">
        <f t="shared" si="6"/>
        <v>4725765</v>
      </c>
    </row>
    <row r="127" spans="13:16" x14ac:dyDescent="0.3">
      <c r="M127" s="93" t="s">
        <v>389</v>
      </c>
      <c r="N127" s="41">
        <f t="shared" si="6"/>
        <v>21285299</v>
      </c>
      <c r="O127" s="41">
        <f t="shared" si="6"/>
        <v>54224325</v>
      </c>
      <c r="P127" s="41">
        <f t="shared" si="6"/>
        <v>4854806</v>
      </c>
    </row>
    <row r="128" spans="13:16" x14ac:dyDescent="0.3">
      <c r="M128" s="93" t="s">
        <v>451</v>
      </c>
      <c r="N128" s="41">
        <f t="shared" si="6"/>
        <v>20098602</v>
      </c>
      <c r="O128" s="41">
        <f t="shared" si="6"/>
        <v>57413199</v>
      </c>
      <c r="P128" s="41">
        <f t="shared" si="6"/>
        <v>3525449</v>
      </c>
    </row>
    <row r="129" spans="13:16" x14ac:dyDescent="0.3">
      <c r="M129" s="93" t="s">
        <v>450</v>
      </c>
      <c r="N129" s="41">
        <f t="shared" si="6"/>
        <v>22439527</v>
      </c>
      <c r="O129" s="41">
        <f t="shared" si="6"/>
        <v>63939990</v>
      </c>
      <c r="P129" s="41">
        <f t="shared" si="6"/>
        <v>3542764</v>
      </c>
    </row>
    <row r="130" spans="13:16" x14ac:dyDescent="0.3">
      <c r="M130" s="192" t="s">
        <v>449</v>
      </c>
      <c r="N130" s="241">
        <f t="shared" si="6"/>
        <v>21868906</v>
      </c>
      <c r="O130" s="241">
        <f t="shared" si="6"/>
        <v>66637111</v>
      </c>
      <c r="P130" s="241">
        <f t="shared" si="6"/>
        <v>3292679</v>
      </c>
    </row>
    <row r="131" spans="13:16" x14ac:dyDescent="0.3">
      <c r="N131" s="133">
        <f>SUM(N126:N130)</f>
        <v>102663163</v>
      </c>
      <c r="O131" s="133">
        <f>SUM(O126:O130)</f>
        <v>293451883</v>
      </c>
      <c r="P131" s="133">
        <f>SUM(P126:P130)</f>
        <v>19941463</v>
      </c>
    </row>
  </sheetData>
  <mergeCells count="13">
    <mergeCell ref="N94:P94"/>
    <mergeCell ref="N106:P106"/>
    <mergeCell ref="N115:P115"/>
    <mergeCell ref="N124:P124"/>
    <mergeCell ref="C10:F10"/>
    <mergeCell ref="C22:J22"/>
    <mergeCell ref="L22:P22"/>
    <mergeCell ref="E28:G28"/>
    <mergeCell ref="H28:J28"/>
    <mergeCell ref="E36:G36"/>
    <mergeCell ref="H36:J36"/>
    <mergeCell ref="N76:P76"/>
    <mergeCell ref="N85:P8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ABB8-4E8E-4378-9D63-FD05D617532D}">
  <sheetPr>
    <tabColor theme="1"/>
  </sheetPr>
  <dimension ref="A1"/>
  <sheetViews>
    <sheetView workbookViewId="0">
      <selection activeCell="L44" sqref="L44"/>
    </sheetView>
  </sheetViews>
  <sheetFormatPr defaultRowHeight="14.4" x14ac:dyDescent="0.3"/>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B18C-07FE-4678-92C8-986CCCDAD15B}">
  <sheetPr>
    <tabColor theme="5" tint="0.39997558519241921"/>
  </sheetPr>
  <dimension ref="A1:S35"/>
  <sheetViews>
    <sheetView workbookViewId="0">
      <selection activeCell="U46" sqref="U46"/>
    </sheetView>
  </sheetViews>
  <sheetFormatPr defaultRowHeight="14.4" x14ac:dyDescent="0.3"/>
  <cols>
    <col min="3" max="3" width="26.21875" bestFit="1" customWidth="1"/>
  </cols>
  <sheetData>
    <row r="1" spans="1:19" ht="15" thickBot="1" x14ac:dyDescent="0.35">
      <c r="A1" t="s">
        <v>473</v>
      </c>
      <c r="G1" s="10" t="s">
        <v>16</v>
      </c>
      <c r="H1" s="9"/>
    </row>
    <row r="2" spans="1:19" x14ac:dyDescent="0.3">
      <c r="G2" s="8" t="s">
        <v>15</v>
      </c>
      <c r="H2" s="8"/>
    </row>
    <row r="3" spans="1:19" ht="15" thickBot="1" x14ac:dyDescent="0.35">
      <c r="G3" s="7" t="s">
        <v>14</v>
      </c>
      <c r="H3" s="7"/>
    </row>
    <row r="4" spans="1:19" ht="15.6" thickTop="1" thickBot="1" x14ac:dyDescent="0.35">
      <c r="G4" s="6" t="s">
        <v>13</v>
      </c>
      <c r="H4" s="6"/>
    </row>
    <row r="5" spans="1:19" ht="15" thickTop="1" x14ac:dyDescent="0.3">
      <c r="G5" s="5" t="s">
        <v>12</v>
      </c>
      <c r="H5" s="4"/>
    </row>
    <row r="9" spans="1:19" ht="15" thickBot="1" x14ac:dyDescent="0.35"/>
    <row r="10" spans="1:19" ht="15" thickBot="1" x14ac:dyDescent="0.35">
      <c r="C10" s="399" t="s">
        <v>3</v>
      </c>
      <c r="D10" s="400"/>
      <c r="E10" s="400"/>
      <c r="F10" s="401"/>
    </row>
    <row r="13" spans="1:19" ht="15" thickBot="1" x14ac:dyDescent="0.35"/>
    <row r="14" spans="1:19" ht="15" thickBot="1" x14ac:dyDescent="0.35">
      <c r="C14" s="399" t="s">
        <v>10</v>
      </c>
      <c r="D14" s="400"/>
      <c r="E14" s="400"/>
      <c r="F14" s="400"/>
      <c r="G14" s="401"/>
      <c r="I14" s="399" t="s">
        <v>0</v>
      </c>
      <c r="J14" s="400"/>
      <c r="K14" s="400"/>
      <c r="L14" s="400"/>
      <c r="M14" s="400"/>
      <c r="N14" s="400"/>
      <c r="O14" s="400"/>
      <c r="P14" s="400"/>
      <c r="Q14" s="400"/>
      <c r="R14" s="400"/>
      <c r="S14" s="401"/>
    </row>
    <row r="16" spans="1:19" x14ac:dyDescent="0.3">
      <c r="A16" t="s">
        <v>9</v>
      </c>
      <c r="D16" s="93" t="s">
        <v>247</v>
      </c>
      <c r="E16" s="93" t="s">
        <v>246</v>
      </c>
      <c r="F16" s="93" t="s">
        <v>463</v>
      </c>
    </row>
    <row r="17" spans="1:6" x14ac:dyDescent="0.3">
      <c r="C17" t="s">
        <v>472</v>
      </c>
      <c r="D17" s="36">
        <v>500</v>
      </c>
      <c r="E17" s="36">
        <v>350</v>
      </c>
      <c r="F17" s="36">
        <v>200</v>
      </c>
    </row>
    <row r="18" spans="1:6" x14ac:dyDescent="0.3">
      <c r="C18" t="s">
        <v>471</v>
      </c>
      <c r="D18" s="36">
        <v>100</v>
      </c>
      <c r="E18" s="36">
        <v>250</v>
      </c>
      <c r="F18" s="36">
        <v>500</v>
      </c>
    </row>
    <row r="19" spans="1:6" x14ac:dyDescent="0.3">
      <c r="C19" t="s">
        <v>470</v>
      </c>
      <c r="D19">
        <v>600</v>
      </c>
      <c r="E19">
        <v>500</v>
      </c>
      <c r="F19">
        <v>400</v>
      </c>
    </row>
    <row r="20" spans="1:6" x14ac:dyDescent="0.3">
      <c r="C20" t="s">
        <v>469</v>
      </c>
      <c r="D20">
        <v>500</v>
      </c>
      <c r="E20">
        <v>400</v>
      </c>
      <c r="F20">
        <v>300</v>
      </c>
    </row>
    <row r="21" spans="1:6" x14ac:dyDescent="0.3">
      <c r="C21" t="s">
        <v>468</v>
      </c>
      <c r="D21" s="34">
        <v>0.7</v>
      </c>
      <c r="E21" s="34">
        <v>0.7</v>
      </c>
      <c r="F21" s="34">
        <v>0.7</v>
      </c>
    </row>
    <row r="22" spans="1:6" x14ac:dyDescent="0.3">
      <c r="C22" t="s">
        <v>467</v>
      </c>
      <c r="D22" s="34">
        <v>0.9</v>
      </c>
      <c r="E22" s="34">
        <v>0.9</v>
      </c>
      <c r="F22" s="34">
        <v>0.9</v>
      </c>
    </row>
    <row r="25" spans="1:6" x14ac:dyDescent="0.3">
      <c r="A25" t="s">
        <v>466</v>
      </c>
    </row>
    <row r="26" spans="1:6" x14ac:dyDescent="0.3">
      <c r="D26" s="93" t="s">
        <v>247</v>
      </c>
      <c r="E26" s="93" t="s">
        <v>246</v>
      </c>
      <c r="F26" s="93" t="s">
        <v>463</v>
      </c>
    </row>
    <row r="27" spans="1:6" x14ac:dyDescent="0.3">
      <c r="D27" s="93"/>
      <c r="E27" s="93"/>
      <c r="F27" s="93"/>
    </row>
    <row r="28" spans="1:6" x14ac:dyDescent="0.3">
      <c r="C28" t="s">
        <v>465</v>
      </c>
      <c r="D28">
        <v>0.05</v>
      </c>
      <c r="E28">
        <v>2.5000000000000001E-2</v>
      </c>
      <c r="F28">
        <v>0.02</v>
      </c>
    </row>
    <row r="30" spans="1:6" x14ac:dyDescent="0.3">
      <c r="C30" t="s">
        <v>464</v>
      </c>
    </row>
    <row r="31" spans="1:6" x14ac:dyDescent="0.3">
      <c r="D31" t="s">
        <v>389</v>
      </c>
    </row>
    <row r="32" spans="1:6" x14ac:dyDescent="0.3">
      <c r="C32" t="s">
        <v>393</v>
      </c>
      <c r="D32" s="93" t="s">
        <v>247</v>
      </c>
      <c r="E32" s="93" t="s">
        <v>246</v>
      </c>
      <c r="F32" s="93" t="s">
        <v>463</v>
      </c>
    </row>
    <row r="33" spans="3:6" x14ac:dyDescent="0.3">
      <c r="C33" t="s">
        <v>247</v>
      </c>
      <c r="D33">
        <v>160</v>
      </c>
      <c r="E33">
        <v>330</v>
      </c>
      <c r="F33">
        <v>110</v>
      </c>
    </row>
    <row r="34" spans="3:6" x14ac:dyDescent="0.3">
      <c r="C34" t="s">
        <v>246</v>
      </c>
      <c r="D34">
        <v>0</v>
      </c>
      <c r="E34">
        <v>140</v>
      </c>
      <c r="F34">
        <v>360</v>
      </c>
    </row>
    <row r="35" spans="3:6" x14ac:dyDescent="0.3">
      <c r="C35" t="s">
        <v>463</v>
      </c>
      <c r="D35">
        <v>0</v>
      </c>
      <c r="E35">
        <v>0</v>
      </c>
      <c r="F35">
        <v>400</v>
      </c>
    </row>
  </sheetData>
  <mergeCells count="3">
    <mergeCell ref="C10:F10"/>
    <mergeCell ref="C14:G14"/>
    <mergeCell ref="I14:S14"/>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0B35-5977-4897-AF49-1C506CB12A7B}">
  <sheetPr>
    <tabColor theme="9" tint="0.59999389629810485"/>
  </sheetPr>
  <dimension ref="A1:AC41"/>
  <sheetViews>
    <sheetView topLeftCell="D1" workbookViewId="0">
      <selection activeCell="O51" sqref="O51"/>
    </sheetView>
  </sheetViews>
  <sheetFormatPr defaultRowHeight="14.4" x14ac:dyDescent="0.3"/>
  <cols>
    <col min="3" max="3" width="26.21875" bestFit="1" customWidth="1"/>
  </cols>
  <sheetData>
    <row r="1" spans="1:19" ht="15" thickBot="1" x14ac:dyDescent="0.35">
      <c r="A1" t="s">
        <v>473</v>
      </c>
      <c r="G1" s="10" t="s">
        <v>16</v>
      </c>
      <c r="H1" s="9"/>
    </row>
    <row r="2" spans="1:19" x14ac:dyDescent="0.3">
      <c r="G2" s="8" t="s">
        <v>15</v>
      </c>
      <c r="H2" s="8"/>
    </row>
    <row r="3" spans="1:19" ht="15" thickBot="1" x14ac:dyDescent="0.35">
      <c r="G3" s="7" t="s">
        <v>14</v>
      </c>
      <c r="H3" s="7"/>
    </row>
    <row r="4" spans="1:19" ht="15.6" thickTop="1" thickBot="1" x14ac:dyDescent="0.35">
      <c r="G4" s="6" t="s">
        <v>13</v>
      </c>
      <c r="H4" s="6"/>
    </row>
    <row r="5" spans="1:19" ht="15" thickTop="1" x14ac:dyDescent="0.3">
      <c r="G5" s="5" t="s">
        <v>12</v>
      </c>
      <c r="H5" s="4"/>
    </row>
    <row r="9" spans="1:19" ht="15" thickBot="1" x14ac:dyDescent="0.35"/>
    <row r="10" spans="1:19" ht="15" thickBot="1" x14ac:dyDescent="0.35">
      <c r="C10" s="399" t="s">
        <v>3</v>
      </c>
      <c r="D10" s="400"/>
      <c r="E10" s="400"/>
      <c r="F10" s="401"/>
    </row>
    <row r="13" spans="1:19" ht="15" thickBot="1" x14ac:dyDescent="0.35"/>
    <row r="14" spans="1:19" ht="15" thickBot="1" x14ac:dyDescent="0.35">
      <c r="C14" s="399" t="s">
        <v>10</v>
      </c>
      <c r="D14" s="400"/>
      <c r="E14" s="400"/>
      <c r="F14" s="400"/>
      <c r="G14" s="401"/>
      <c r="I14" s="399" t="s">
        <v>0</v>
      </c>
      <c r="J14" s="400"/>
      <c r="K14" s="400"/>
      <c r="L14" s="400"/>
      <c r="M14" s="400"/>
      <c r="N14" s="400"/>
      <c r="O14" s="400"/>
      <c r="P14" s="400"/>
      <c r="Q14" s="400"/>
      <c r="R14" s="400"/>
      <c r="S14" s="401"/>
    </row>
    <row r="16" spans="1:19" x14ac:dyDescent="0.3">
      <c r="A16" t="s">
        <v>9</v>
      </c>
      <c r="D16" s="93" t="s">
        <v>247</v>
      </c>
      <c r="E16" s="93" t="s">
        <v>246</v>
      </c>
      <c r="F16" s="93" t="s">
        <v>463</v>
      </c>
      <c r="K16" s="429" t="s">
        <v>792</v>
      </c>
      <c r="L16" s="429"/>
      <c r="N16" s="429" t="s">
        <v>791</v>
      </c>
      <c r="O16" s="429"/>
    </row>
    <row r="17" spans="1:27" x14ac:dyDescent="0.3">
      <c r="C17" t="s">
        <v>472</v>
      </c>
      <c r="D17" s="36">
        <v>500</v>
      </c>
      <c r="E17" s="36">
        <v>350</v>
      </c>
      <c r="F17" s="36">
        <v>200</v>
      </c>
      <c r="K17" s="93" t="s">
        <v>546</v>
      </c>
      <c r="L17" s="115">
        <f>D21</f>
        <v>0.7</v>
      </c>
      <c r="N17" s="93" t="s">
        <v>546</v>
      </c>
      <c r="O17" s="115">
        <f>D22</f>
        <v>0.9</v>
      </c>
    </row>
    <row r="18" spans="1:27" x14ac:dyDescent="0.3">
      <c r="C18" t="s">
        <v>471</v>
      </c>
      <c r="D18" s="36">
        <v>100</v>
      </c>
      <c r="E18" s="36">
        <v>250</v>
      </c>
      <c r="F18" s="36">
        <v>500</v>
      </c>
    </row>
    <row r="19" spans="1:27" x14ac:dyDescent="0.3">
      <c r="C19" t="s">
        <v>470</v>
      </c>
      <c r="D19">
        <v>600</v>
      </c>
      <c r="E19">
        <v>500</v>
      </c>
      <c r="F19">
        <v>400</v>
      </c>
      <c r="K19" s="406" t="s">
        <v>792</v>
      </c>
      <c r="L19" s="407"/>
      <c r="M19" s="408"/>
      <c r="N19" s="406" t="s">
        <v>791</v>
      </c>
      <c r="O19" s="407"/>
      <c r="P19" s="408"/>
    </row>
    <row r="20" spans="1:27" ht="15" thickBot="1" x14ac:dyDescent="0.35">
      <c r="C20" t="s">
        <v>469</v>
      </c>
      <c r="D20">
        <v>500</v>
      </c>
      <c r="E20">
        <v>400</v>
      </c>
      <c r="F20">
        <v>300</v>
      </c>
      <c r="I20" s="58" t="s">
        <v>279</v>
      </c>
      <c r="J20" s="58" t="s">
        <v>790</v>
      </c>
      <c r="K20" s="198" t="s">
        <v>789</v>
      </c>
      <c r="L20" s="198" t="s">
        <v>547</v>
      </c>
      <c r="M20" s="198" t="s">
        <v>39</v>
      </c>
      <c r="N20" s="198" t="s">
        <v>789</v>
      </c>
      <c r="O20" s="198" t="s">
        <v>547</v>
      </c>
      <c r="P20" s="198" t="s">
        <v>39</v>
      </c>
    </row>
    <row r="21" spans="1:27" x14ac:dyDescent="0.3">
      <c r="C21" t="s">
        <v>468</v>
      </c>
      <c r="D21" s="34">
        <v>0.7</v>
      </c>
      <c r="E21" s="34">
        <v>0.7</v>
      </c>
      <c r="F21" s="34">
        <v>0.7</v>
      </c>
      <c r="I21" s="425" t="s">
        <v>393</v>
      </c>
      <c r="J21" s="93" t="s">
        <v>784</v>
      </c>
      <c r="K21" s="254">
        <f>D19</f>
        <v>600</v>
      </c>
      <c r="L21" s="253">
        <f>D17</f>
        <v>500</v>
      </c>
      <c r="M21" s="252">
        <f>L21*$L$17</f>
        <v>350</v>
      </c>
      <c r="N21" s="254">
        <f>D20</f>
        <v>500</v>
      </c>
      <c r="O21" s="253">
        <f>D17</f>
        <v>500</v>
      </c>
      <c r="P21" s="252">
        <f>O21*$O$17</f>
        <v>450</v>
      </c>
    </row>
    <row r="22" spans="1:27" x14ac:dyDescent="0.3">
      <c r="C22" t="s">
        <v>467</v>
      </c>
      <c r="D22" s="34">
        <v>0.9</v>
      </c>
      <c r="E22" s="34">
        <v>0.9</v>
      </c>
      <c r="F22" s="34">
        <v>0.9</v>
      </c>
      <c r="I22" s="426"/>
      <c r="J22" s="93" t="s">
        <v>783</v>
      </c>
      <c r="K22" s="251">
        <f>E19</f>
        <v>500</v>
      </c>
      <c r="L22" s="36">
        <f>E17</f>
        <v>350</v>
      </c>
      <c r="M22" s="250">
        <f>L22*$L$17</f>
        <v>244.99999999999997</v>
      </c>
      <c r="N22" s="251">
        <f>E20</f>
        <v>400</v>
      </c>
      <c r="O22" s="36">
        <f>E17</f>
        <v>350</v>
      </c>
      <c r="P22" s="250">
        <f>O22*$O$17</f>
        <v>315</v>
      </c>
      <c r="R22" s="413" t="s">
        <v>788</v>
      </c>
      <c r="S22" s="413"/>
      <c r="Y22" s="413"/>
      <c r="Z22" s="413"/>
    </row>
    <row r="23" spans="1:27" x14ac:dyDescent="0.3">
      <c r="I23" s="427"/>
      <c r="J23" s="192" t="s">
        <v>781</v>
      </c>
      <c r="K23" s="249">
        <f>F19</f>
        <v>400</v>
      </c>
      <c r="L23" s="126">
        <f>F17</f>
        <v>200</v>
      </c>
      <c r="M23" s="248">
        <f>L23*$L$17</f>
        <v>140</v>
      </c>
      <c r="N23" s="249">
        <f>F20</f>
        <v>300</v>
      </c>
      <c r="O23" s="126">
        <f>F17</f>
        <v>200</v>
      </c>
      <c r="P23" s="248">
        <f>O23*$O$17</f>
        <v>180</v>
      </c>
      <c r="R23" s="93" t="s">
        <v>485</v>
      </c>
      <c r="S23" s="93" t="s">
        <v>39</v>
      </c>
      <c r="Y23" s="93"/>
      <c r="Z23" s="93"/>
      <c r="AA23" s="93"/>
    </row>
    <row r="24" spans="1:27" ht="15" thickBot="1" x14ac:dyDescent="0.35">
      <c r="I24" s="261"/>
      <c r="J24" s="93"/>
      <c r="K24" s="260">
        <f>SUM(K21:K23)</f>
        <v>1500</v>
      </c>
      <c r="L24" s="259">
        <f>SUMPRODUCT(L21:L23,K21:K23)/K24</f>
        <v>370</v>
      </c>
      <c r="M24" s="258">
        <f>SUMPRODUCT(M21:M23,K21:K23)/K24</f>
        <v>259</v>
      </c>
      <c r="N24" s="260">
        <f>SUM(N21:N23)</f>
        <v>1200</v>
      </c>
      <c r="O24" s="259">
        <f>SUMPRODUCT(O21:O23,N21:N23)/N24</f>
        <v>375</v>
      </c>
      <c r="P24" s="258">
        <f>SUMPRODUCT(P21:P23,N21:N23)/N24</f>
        <v>337.5</v>
      </c>
      <c r="R24" s="257">
        <f>(L24*K24+O24*N24)/(K24+N24)</f>
        <v>372.22222222222223</v>
      </c>
      <c r="S24" s="257">
        <f>(M24*K24+P24*N24)/(K24+N24)</f>
        <v>293.88888888888891</v>
      </c>
      <c r="Y24" s="73"/>
      <c r="Z24" s="73"/>
      <c r="AA24" s="125"/>
    </row>
    <row r="25" spans="1:27" x14ac:dyDescent="0.3">
      <c r="A25" t="s">
        <v>466</v>
      </c>
      <c r="I25" s="428" t="s">
        <v>787</v>
      </c>
      <c r="J25" s="255" t="s">
        <v>784</v>
      </c>
      <c r="K25" s="254">
        <f>K21</f>
        <v>600</v>
      </c>
      <c r="L25" s="253">
        <f>L21*(1+$D$28)</f>
        <v>525</v>
      </c>
      <c r="M25" s="252">
        <f>L25*$L$17</f>
        <v>367.5</v>
      </c>
      <c r="N25" s="254">
        <f>N21</f>
        <v>500</v>
      </c>
      <c r="O25" s="253">
        <f>O21*(1+$D$28)</f>
        <v>525</v>
      </c>
      <c r="P25" s="252">
        <f>O25*$O$17</f>
        <v>472.5</v>
      </c>
    </row>
    <row r="26" spans="1:27" x14ac:dyDescent="0.3">
      <c r="D26" s="93" t="s">
        <v>247</v>
      </c>
      <c r="E26" s="93" t="s">
        <v>246</v>
      </c>
      <c r="F26" s="93" t="s">
        <v>463</v>
      </c>
      <c r="I26" s="426"/>
      <c r="J26" s="93" t="s">
        <v>783</v>
      </c>
      <c r="K26" s="251">
        <f>K22</f>
        <v>500</v>
      </c>
      <c r="L26" s="36">
        <f>L22*(1+$E$28)</f>
        <v>358.74999999999994</v>
      </c>
      <c r="M26" s="250">
        <f>L26*$L$17</f>
        <v>251.12499999999994</v>
      </c>
      <c r="N26" s="251">
        <f>N22</f>
        <v>400</v>
      </c>
      <c r="O26" s="36">
        <f>O22*(1+$E$28)</f>
        <v>358.74999999999994</v>
      </c>
      <c r="P26" s="250">
        <f>O26*$O$17</f>
        <v>322.87499999999994</v>
      </c>
      <c r="R26" s="413" t="s">
        <v>782</v>
      </c>
      <c r="S26" s="413"/>
    </row>
    <row r="27" spans="1:27" x14ac:dyDescent="0.3">
      <c r="D27" s="93"/>
      <c r="E27" s="93"/>
      <c r="F27" s="93"/>
      <c r="I27" s="427"/>
      <c r="J27" s="93" t="s">
        <v>781</v>
      </c>
      <c r="K27" s="251">
        <f>K23</f>
        <v>400</v>
      </c>
      <c r="L27" s="36">
        <f>L23*(1+$F$28)</f>
        <v>204</v>
      </c>
      <c r="M27" s="250">
        <f>L27*$L$17</f>
        <v>142.79999999999998</v>
      </c>
      <c r="N27" s="251">
        <f>N23</f>
        <v>300</v>
      </c>
      <c r="O27" s="36">
        <f>O23*(1+$F$28)</f>
        <v>204</v>
      </c>
      <c r="P27" s="250">
        <f>O27*$O$17</f>
        <v>183.6</v>
      </c>
      <c r="R27" s="192" t="s">
        <v>485</v>
      </c>
      <c r="S27" s="192" t="s">
        <v>39</v>
      </c>
    </row>
    <row r="28" spans="1:27" ht="15" thickBot="1" x14ac:dyDescent="0.35">
      <c r="C28" t="s">
        <v>465</v>
      </c>
      <c r="D28">
        <v>0.05</v>
      </c>
      <c r="E28">
        <v>2.5000000000000001E-2</v>
      </c>
      <c r="F28">
        <v>0.02</v>
      </c>
      <c r="I28" s="256"/>
      <c r="J28" s="256"/>
      <c r="K28" s="247">
        <f>SUM(K25:K27)</f>
        <v>1500</v>
      </c>
      <c r="L28" s="246">
        <f>SUMPRODUCT(L25:L27,K25:K27)/K28</f>
        <v>383.98333333333335</v>
      </c>
      <c r="M28" s="245">
        <f>SUMPRODUCT(M25:M27,K25:K27)/K28</f>
        <v>268.78833333333336</v>
      </c>
      <c r="N28" s="247">
        <f>SUM(N25:N27)</f>
        <v>1200</v>
      </c>
      <c r="O28" s="246">
        <f>SUMPRODUCT(O25:O27,N25:N27)/N28</f>
        <v>389.33333333333331</v>
      </c>
      <c r="P28" s="245">
        <f>SUMPRODUCT(P25:P27,N25:N27)/N28</f>
        <v>350.4</v>
      </c>
      <c r="R28" s="36">
        <f>(L28*K28+O28*N28)/(K28+N28)</f>
        <v>386.36111111111109</v>
      </c>
      <c r="S28" s="36">
        <f>(M28*K28+P28*N28)/(K28+N28)</f>
        <v>305.06018518518516</v>
      </c>
      <c r="T28" s="8" t="s">
        <v>786</v>
      </c>
      <c r="U28" s="8"/>
      <c r="V28" s="8"/>
      <c r="W28" s="8"/>
      <c r="Y28" s="73"/>
      <c r="Z28" s="73"/>
      <c r="AA28" s="125"/>
    </row>
    <row r="29" spans="1:27" x14ac:dyDescent="0.3">
      <c r="I29" s="428" t="s">
        <v>785</v>
      </c>
      <c r="J29" s="255" t="s">
        <v>784</v>
      </c>
      <c r="K29" s="254">
        <f>SUM(D33:D35)</f>
        <v>160</v>
      </c>
      <c r="L29" s="253">
        <f>L25</f>
        <v>525</v>
      </c>
      <c r="M29" s="252">
        <f>L29*$L$17</f>
        <v>367.5</v>
      </c>
      <c r="N29" s="254">
        <f t="shared" ref="N29:P31" si="0">N25</f>
        <v>500</v>
      </c>
      <c r="O29" s="253">
        <f t="shared" si="0"/>
        <v>525</v>
      </c>
      <c r="P29" s="252">
        <f t="shared" si="0"/>
        <v>472.5</v>
      </c>
    </row>
    <row r="30" spans="1:27" x14ac:dyDescent="0.3">
      <c r="C30" t="s">
        <v>464</v>
      </c>
      <c r="I30" s="426"/>
      <c r="J30" s="93" t="s">
        <v>783</v>
      </c>
      <c r="K30" s="251">
        <f>SUM(E33:E35)</f>
        <v>470</v>
      </c>
      <c r="L30" s="36">
        <f>L26</f>
        <v>358.74999999999994</v>
      </c>
      <c r="M30" s="250">
        <f>L30*$L$17</f>
        <v>251.12499999999994</v>
      </c>
      <c r="N30" s="251">
        <f t="shared" si="0"/>
        <v>400</v>
      </c>
      <c r="O30" s="36">
        <f t="shared" si="0"/>
        <v>358.74999999999994</v>
      </c>
      <c r="P30" s="250">
        <f t="shared" si="0"/>
        <v>322.87499999999994</v>
      </c>
      <c r="R30" s="413" t="s">
        <v>782</v>
      </c>
      <c r="S30" s="413"/>
    </row>
    <row r="31" spans="1:27" x14ac:dyDescent="0.3">
      <c r="D31" t="s">
        <v>389</v>
      </c>
      <c r="I31" s="427"/>
      <c r="J31" s="192" t="s">
        <v>781</v>
      </c>
      <c r="K31" s="249">
        <f>SUM(F33:F35)</f>
        <v>870</v>
      </c>
      <c r="L31" s="126">
        <f>L27</f>
        <v>204</v>
      </c>
      <c r="M31" s="248">
        <f>L31*$L$17</f>
        <v>142.79999999999998</v>
      </c>
      <c r="N31" s="249">
        <f t="shared" si="0"/>
        <v>300</v>
      </c>
      <c r="O31" s="126">
        <f t="shared" si="0"/>
        <v>204</v>
      </c>
      <c r="P31" s="248">
        <f t="shared" si="0"/>
        <v>183.6</v>
      </c>
      <c r="R31" s="192" t="s">
        <v>485</v>
      </c>
      <c r="S31" s="192" t="s">
        <v>39</v>
      </c>
    </row>
    <row r="32" spans="1:27" ht="15" thickBot="1" x14ac:dyDescent="0.35">
      <c r="C32" t="s">
        <v>393</v>
      </c>
      <c r="D32" s="93" t="s">
        <v>247</v>
      </c>
      <c r="E32" s="93" t="s">
        <v>246</v>
      </c>
      <c r="F32" s="93" t="s">
        <v>463</v>
      </c>
      <c r="K32" s="247">
        <f>SUM(K29:K31)</f>
        <v>1500</v>
      </c>
      <c r="L32" s="246">
        <f>SUMPRODUCT(L29:L31,K29:K31)/K32</f>
        <v>286.72833333333335</v>
      </c>
      <c r="M32" s="245">
        <f>SUMPRODUCT(M29:M31,K29:K31)/K32</f>
        <v>200.70983333333331</v>
      </c>
      <c r="N32" s="247">
        <f>SUM(N29:N31)</f>
        <v>1200</v>
      </c>
      <c r="O32" s="246">
        <f>SUMPRODUCT(O29:O31,N29:N31)/N32</f>
        <v>389.33333333333331</v>
      </c>
      <c r="P32" s="245">
        <f>SUMPRODUCT(P29:P31,N29:N31)/N32</f>
        <v>350.4</v>
      </c>
      <c r="R32" s="36">
        <f>(L32*K32+O32*N32)/(K32+N32)</f>
        <v>332.33055555555558</v>
      </c>
      <c r="S32" s="36">
        <f>(M32*K32+P32*N32)/(K32+N32)</f>
        <v>267.2387962962963</v>
      </c>
      <c r="T32" s="8" t="s">
        <v>780</v>
      </c>
      <c r="U32" s="8"/>
      <c r="V32" s="8"/>
      <c r="W32" s="8"/>
      <c r="Y32" s="73"/>
      <c r="Z32" s="73"/>
      <c r="AA32" s="125"/>
    </row>
    <row r="33" spans="3:29" x14ac:dyDescent="0.3">
      <c r="C33" t="s">
        <v>247</v>
      </c>
      <c r="D33">
        <v>160</v>
      </c>
      <c r="E33">
        <v>330</v>
      </c>
      <c r="F33">
        <v>110</v>
      </c>
      <c r="M33" s="244"/>
    </row>
    <row r="34" spans="3:29" x14ac:dyDescent="0.3">
      <c r="C34" t="s">
        <v>246</v>
      </c>
      <c r="D34">
        <v>0</v>
      </c>
      <c r="E34">
        <v>140</v>
      </c>
      <c r="F34">
        <v>360</v>
      </c>
      <c r="M34" s="244"/>
      <c r="R34" s="424" t="s">
        <v>779</v>
      </c>
      <c r="S34" s="424"/>
    </row>
    <row r="35" spans="3:29" x14ac:dyDescent="0.3">
      <c r="C35" t="s">
        <v>463</v>
      </c>
      <c r="D35">
        <v>0</v>
      </c>
      <c r="E35">
        <v>0</v>
      </c>
      <c r="F35">
        <v>400</v>
      </c>
      <c r="M35" s="244"/>
      <c r="R35" s="243" t="s">
        <v>547</v>
      </c>
      <c r="S35" s="243" t="s">
        <v>444</v>
      </c>
      <c r="T35" s="243" t="s">
        <v>778</v>
      </c>
      <c r="Z35" s="36"/>
      <c r="AA35" s="36"/>
    </row>
    <row r="36" spans="3:29" x14ac:dyDescent="0.3">
      <c r="M36" s="244"/>
      <c r="R36" s="36">
        <f>R28-R32</f>
        <v>54.030555555555509</v>
      </c>
      <c r="S36" s="36">
        <f>S28-S32</f>
        <v>37.821388888888862</v>
      </c>
      <c r="T36" s="36">
        <f>R36-S36</f>
        <v>16.209166666666647</v>
      </c>
    </row>
    <row r="37" spans="3:29" x14ac:dyDescent="0.3">
      <c r="M37" s="244"/>
    </row>
    <row r="38" spans="3:29" x14ac:dyDescent="0.3">
      <c r="M38" s="244"/>
      <c r="Q38" s="243" t="s">
        <v>777</v>
      </c>
    </row>
    <row r="39" spans="3:29" x14ac:dyDescent="0.3">
      <c r="Q39" s="93" t="s">
        <v>776</v>
      </c>
      <c r="R39" s="242">
        <f>R36</f>
        <v>54.030555555555509</v>
      </c>
      <c r="S39" s="8" t="s">
        <v>775</v>
      </c>
      <c r="T39" s="8"/>
      <c r="U39" s="8"/>
      <c r="V39" s="8"/>
      <c r="W39" s="8"/>
      <c r="X39" s="8"/>
      <c r="AA39" s="36"/>
    </row>
    <row r="40" spans="3:29" x14ac:dyDescent="0.3">
      <c r="Q40" s="93" t="s">
        <v>774</v>
      </c>
      <c r="R40" s="242">
        <f>S36</f>
        <v>37.821388888888862</v>
      </c>
      <c r="S40" s="8" t="s">
        <v>773</v>
      </c>
      <c r="T40" s="8"/>
      <c r="U40" s="8"/>
      <c r="V40" s="8"/>
      <c r="W40" s="8"/>
      <c r="AA40" s="73"/>
    </row>
    <row r="41" spans="3:29" x14ac:dyDescent="0.3">
      <c r="R41" s="36">
        <f>T36</f>
        <v>16.209166666666647</v>
      </c>
      <c r="S41" s="8" t="s">
        <v>772</v>
      </c>
      <c r="T41" s="8"/>
      <c r="U41" s="8"/>
      <c r="V41" s="8"/>
      <c r="W41" s="8"/>
      <c r="X41" s="8"/>
      <c r="Y41" s="8"/>
      <c r="Z41" s="8"/>
      <c r="AA41" s="8"/>
      <c r="AB41" s="8"/>
      <c r="AC41" s="8"/>
    </row>
  </sheetData>
  <mergeCells count="15">
    <mergeCell ref="K19:M19"/>
    <mergeCell ref="N19:P19"/>
    <mergeCell ref="C10:F10"/>
    <mergeCell ref="C14:G14"/>
    <mergeCell ref="I14:S14"/>
    <mergeCell ref="K16:L16"/>
    <mergeCell ref="N16:O16"/>
    <mergeCell ref="R34:S34"/>
    <mergeCell ref="I21:I23"/>
    <mergeCell ref="R22:S22"/>
    <mergeCell ref="Y22:Z22"/>
    <mergeCell ref="I25:I27"/>
    <mergeCell ref="R26:S26"/>
    <mergeCell ref="I29:I31"/>
    <mergeCell ref="R30:S3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9B8C-D3C0-4989-BFC1-D1959F4684A2}">
  <sheetPr>
    <tabColor theme="1"/>
  </sheetPr>
  <dimension ref="A1"/>
  <sheetViews>
    <sheetView workbookViewId="0">
      <selection activeCell="L44" sqref="L44"/>
    </sheetView>
  </sheetViews>
  <sheetFormatPr defaultRowHeight="14.4" x14ac:dyDescent="0.3"/>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72957-B139-4B88-8945-ABDB22C56562}">
  <sheetPr>
    <tabColor theme="5" tint="0.59999389629810485"/>
  </sheetPr>
  <dimension ref="A1:S86"/>
  <sheetViews>
    <sheetView zoomScaleNormal="100" workbookViewId="0">
      <selection activeCell="G54" sqref="G54"/>
    </sheetView>
  </sheetViews>
  <sheetFormatPr defaultRowHeight="14.4" x14ac:dyDescent="0.3"/>
  <cols>
    <col min="2" max="2" width="1.5546875" customWidth="1"/>
    <col min="3" max="10" width="11" customWidth="1"/>
    <col min="11" max="11" width="12.6640625" customWidth="1"/>
    <col min="12" max="12" width="18.33203125" customWidth="1"/>
    <col min="13" max="14" width="13.6640625" customWidth="1"/>
    <col min="15" max="15" width="15.5546875" customWidth="1"/>
    <col min="16" max="17" width="13.6640625" customWidth="1"/>
    <col min="18" max="18" width="16.88671875" customWidth="1"/>
    <col min="19" max="19" width="13.6640625" customWidth="1"/>
    <col min="20" max="20" width="13" customWidth="1"/>
    <col min="21" max="21" width="23.33203125" customWidth="1"/>
  </cols>
  <sheetData>
    <row r="1" spans="1:11" ht="15" thickBot="1" x14ac:dyDescent="0.35">
      <c r="A1" t="s">
        <v>824</v>
      </c>
      <c r="J1" s="10" t="s">
        <v>16</v>
      </c>
      <c r="K1" s="9"/>
    </row>
    <row r="2" spans="1:11" x14ac:dyDescent="0.3">
      <c r="J2" s="8" t="s">
        <v>15</v>
      </c>
      <c r="K2" s="8"/>
    </row>
    <row r="3" spans="1:11" ht="15" thickBot="1" x14ac:dyDescent="0.35">
      <c r="J3" s="7" t="s">
        <v>14</v>
      </c>
      <c r="K3" s="7"/>
    </row>
    <row r="4" spans="1:11" ht="15.6" thickTop="1" thickBot="1" x14ac:dyDescent="0.35">
      <c r="J4" s="6" t="s">
        <v>13</v>
      </c>
      <c r="K4" s="6"/>
    </row>
    <row r="5" spans="1:11" ht="15" thickTop="1" x14ac:dyDescent="0.3">
      <c r="J5" s="5" t="s">
        <v>12</v>
      </c>
      <c r="K5" s="4"/>
    </row>
    <row r="9" spans="1:11" ht="15" thickBot="1" x14ac:dyDescent="0.35"/>
    <row r="10" spans="1:11" ht="15" thickBot="1" x14ac:dyDescent="0.35">
      <c r="C10" s="399" t="s">
        <v>3</v>
      </c>
      <c r="D10" s="400"/>
      <c r="E10" s="400"/>
      <c r="F10" s="400"/>
      <c r="G10" s="400"/>
      <c r="H10" s="400"/>
      <c r="I10" s="401"/>
    </row>
    <row r="21" spans="1:19" ht="15" thickBot="1" x14ac:dyDescent="0.35"/>
    <row r="22" spans="1:19" ht="15" thickBot="1" x14ac:dyDescent="0.35">
      <c r="C22" s="399" t="s">
        <v>10</v>
      </c>
      <c r="D22" s="400"/>
      <c r="E22" s="400"/>
      <c r="F22" s="400"/>
      <c r="G22" s="400"/>
      <c r="H22" s="400"/>
      <c r="I22" s="400"/>
      <c r="J22" s="401"/>
      <c r="L22" s="399" t="s">
        <v>0</v>
      </c>
      <c r="M22" s="400"/>
      <c r="N22" s="400"/>
      <c r="O22" s="400"/>
      <c r="P22" s="401"/>
      <c r="Q22" s="39"/>
      <c r="R22" s="39"/>
      <c r="S22" s="39"/>
    </row>
    <row r="23" spans="1:19" x14ac:dyDescent="0.3">
      <c r="A23" t="s">
        <v>9</v>
      </c>
    </row>
    <row r="24" spans="1:19" ht="43.2" x14ac:dyDescent="0.3">
      <c r="C24" s="29" t="s">
        <v>813</v>
      </c>
      <c r="D24" s="29" t="s">
        <v>812</v>
      </c>
      <c r="E24" s="29" t="s">
        <v>823</v>
      </c>
      <c r="F24" s="29" t="s">
        <v>809</v>
      </c>
      <c r="G24" s="29" t="s">
        <v>822</v>
      </c>
      <c r="H24" s="29" t="s">
        <v>821</v>
      </c>
    </row>
    <row r="25" spans="1:19" x14ac:dyDescent="0.3">
      <c r="C25" s="28" t="s">
        <v>820</v>
      </c>
      <c r="D25" s="28" t="s">
        <v>819</v>
      </c>
      <c r="E25" s="28" t="s">
        <v>803</v>
      </c>
      <c r="F25" s="28" t="s">
        <v>818</v>
      </c>
      <c r="G25" s="263">
        <v>4000</v>
      </c>
      <c r="H25" s="28" t="s">
        <v>688</v>
      </c>
    </row>
    <row r="26" spans="1:19" x14ac:dyDescent="0.3">
      <c r="C26" s="28" t="s">
        <v>817</v>
      </c>
      <c r="D26" s="28" t="s">
        <v>804</v>
      </c>
      <c r="E26" s="28" t="s">
        <v>803</v>
      </c>
      <c r="F26" s="28" t="s">
        <v>797</v>
      </c>
      <c r="G26" s="28" t="s">
        <v>688</v>
      </c>
      <c r="H26" s="263">
        <v>550</v>
      </c>
    </row>
    <row r="27" spans="1:19" x14ac:dyDescent="0.3">
      <c r="C27" s="28" t="s">
        <v>816</v>
      </c>
      <c r="D27" s="28" t="s">
        <v>798</v>
      </c>
      <c r="E27" s="28" t="s">
        <v>797</v>
      </c>
      <c r="F27" s="28" t="s">
        <v>688</v>
      </c>
      <c r="G27" s="263">
        <v>3000</v>
      </c>
      <c r="H27" s="263">
        <v>1000</v>
      </c>
    </row>
    <row r="28" spans="1:19" x14ac:dyDescent="0.3">
      <c r="C28" s="28" t="s">
        <v>815</v>
      </c>
      <c r="D28" s="28" t="s">
        <v>804</v>
      </c>
      <c r="E28" s="28" t="s">
        <v>688</v>
      </c>
      <c r="F28" s="28" t="s">
        <v>793</v>
      </c>
      <c r="G28" s="263">
        <v>12000</v>
      </c>
      <c r="H28" s="263">
        <v>8000</v>
      </c>
    </row>
    <row r="61" spans="1:10" s="2" customFormat="1" x14ac:dyDescent="0.3">
      <c r="A61" s="2" t="s">
        <v>4</v>
      </c>
    </row>
    <row r="63" spans="1:10" ht="15" thickBot="1" x14ac:dyDescent="0.35"/>
    <row r="64" spans="1:10" ht="15" thickBot="1" x14ac:dyDescent="0.35">
      <c r="C64" s="399" t="s">
        <v>10</v>
      </c>
      <c r="D64" s="400"/>
      <c r="E64" s="400"/>
      <c r="F64" s="400"/>
      <c r="G64" s="400"/>
      <c r="H64" s="400"/>
      <c r="I64" s="400"/>
      <c r="J64" s="401"/>
    </row>
    <row r="66" spans="3:10" x14ac:dyDescent="0.3">
      <c r="C66" t="s">
        <v>814</v>
      </c>
    </row>
    <row r="69" spans="3:10" ht="57.6" x14ac:dyDescent="0.3">
      <c r="C69" s="29" t="s">
        <v>813</v>
      </c>
      <c r="D69" s="29" t="s">
        <v>812</v>
      </c>
      <c r="E69" s="29" t="s">
        <v>811</v>
      </c>
      <c r="F69" s="29" t="s">
        <v>810</v>
      </c>
      <c r="G69" s="29" t="s">
        <v>809</v>
      </c>
      <c r="H69" s="29" t="s">
        <v>808</v>
      </c>
      <c r="I69" s="29" t="s">
        <v>807</v>
      </c>
      <c r="J69" s="29" t="s">
        <v>806</v>
      </c>
    </row>
    <row r="70" spans="3:10" x14ac:dyDescent="0.3">
      <c r="C70" s="58" t="s">
        <v>805</v>
      </c>
      <c r="D70" s="58" t="s">
        <v>804</v>
      </c>
      <c r="E70" s="262">
        <v>20000</v>
      </c>
      <c r="F70" s="58" t="s">
        <v>803</v>
      </c>
      <c r="G70" s="58" t="s">
        <v>803</v>
      </c>
      <c r="H70" s="262">
        <v>25000</v>
      </c>
      <c r="I70" s="58" t="s">
        <v>688</v>
      </c>
      <c r="J70" s="58" t="s">
        <v>688</v>
      </c>
    </row>
    <row r="71" spans="3:10" x14ac:dyDescent="0.3">
      <c r="C71" s="58" t="s">
        <v>802</v>
      </c>
      <c r="D71" s="58" t="s">
        <v>794</v>
      </c>
      <c r="E71" s="262">
        <v>6000</v>
      </c>
      <c r="F71" s="58" t="s">
        <v>797</v>
      </c>
      <c r="G71" s="58" t="s">
        <v>801</v>
      </c>
      <c r="H71" s="58" t="s">
        <v>688</v>
      </c>
      <c r="I71" s="58" t="s">
        <v>800</v>
      </c>
      <c r="J71" s="58" t="s">
        <v>688</v>
      </c>
    </row>
    <row r="72" spans="3:10" x14ac:dyDescent="0.3">
      <c r="C72" s="58" t="s">
        <v>799</v>
      </c>
      <c r="D72" s="58" t="s">
        <v>798</v>
      </c>
      <c r="E72" s="262">
        <v>12000</v>
      </c>
      <c r="F72" s="58" t="s">
        <v>797</v>
      </c>
      <c r="G72" s="58" t="s">
        <v>688</v>
      </c>
      <c r="H72" s="262">
        <v>3000</v>
      </c>
      <c r="I72" s="58" t="s">
        <v>796</v>
      </c>
      <c r="J72" s="58" t="s">
        <v>688</v>
      </c>
    </row>
    <row r="73" spans="3:10" x14ac:dyDescent="0.3">
      <c r="C73" s="58" t="s">
        <v>795</v>
      </c>
      <c r="D73" s="58" t="s">
        <v>794</v>
      </c>
      <c r="E73" s="262">
        <v>15000</v>
      </c>
      <c r="F73" s="58" t="s">
        <v>793</v>
      </c>
      <c r="G73" s="58" t="s">
        <v>793</v>
      </c>
      <c r="H73" s="262">
        <v>1250</v>
      </c>
      <c r="I73" s="58" t="s">
        <v>688</v>
      </c>
      <c r="J73" s="58" t="s">
        <v>688</v>
      </c>
    </row>
    <row r="74" spans="3:10" ht="17.25" customHeight="1" x14ac:dyDescent="0.3"/>
    <row r="75" spans="3:10" ht="29.1" customHeight="1" x14ac:dyDescent="0.3"/>
    <row r="77" spans="3:10" ht="43.8" customHeight="1" x14ac:dyDescent="0.3"/>
    <row r="84" customFormat="1" ht="13.05" customHeight="1" x14ac:dyDescent="0.3"/>
    <row r="85" customFormat="1" ht="13.05" customHeight="1" x14ac:dyDescent="0.3"/>
    <row r="86" customFormat="1" ht="13.05" customHeight="1" x14ac:dyDescent="0.3"/>
  </sheetData>
  <mergeCells count="4">
    <mergeCell ref="C10:I10"/>
    <mergeCell ref="C22:J22"/>
    <mergeCell ref="L22:P22"/>
    <mergeCell ref="C64:J64"/>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D5D37-2271-4933-88F9-D56E3A2C2D9D}">
  <sheetPr>
    <tabColor theme="9" tint="0.59999389629810485"/>
  </sheetPr>
  <dimension ref="A1:V86"/>
  <sheetViews>
    <sheetView workbookViewId="0">
      <selection activeCell="N47" sqref="N47"/>
    </sheetView>
  </sheetViews>
  <sheetFormatPr defaultRowHeight="14.4" x14ac:dyDescent="0.3"/>
  <cols>
    <col min="2" max="2" width="1.5546875" customWidth="1"/>
    <col min="3" max="10" width="11" customWidth="1"/>
    <col min="11" max="11" width="12.6640625" customWidth="1"/>
    <col min="12" max="12" width="18.33203125" customWidth="1"/>
    <col min="13" max="14" width="13.6640625" customWidth="1"/>
    <col min="15" max="15" width="15.5546875" customWidth="1"/>
    <col min="16" max="17" width="13.6640625" customWidth="1"/>
    <col min="18" max="18" width="16.88671875" customWidth="1"/>
    <col min="19" max="19" width="13.6640625" customWidth="1"/>
    <col min="20" max="20" width="13" customWidth="1"/>
    <col min="21" max="21" width="23.33203125" customWidth="1"/>
  </cols>
  <sheetData>
    <row r="1" spans="1:11" ht="15" thickBot="1" x14ac:dyDescent="0.35">
      <c r="A1" t="s">
        <v>824</v>
      </c>
      <c r="J1" s="10" t="s">
        <v>16</v>
      </c>
      <c r="K1" s="9"/>
    </row>
    <row r="2" spans="1:11" x14ac:dyDescent="0.3">
      <c r="J2" s="8" t="s">
        <v>15</v>
      </c>
      <c r="K2" s="8"/>
    </row>
    <row r="3" spans="1:11" ht="15" thickBot="1" x14ac:dyDescent="0.35">
      <c r="J3" s="7" t="s">
        <v>14</v>
      </c>
      <c r="K3" s="7"/>
    </row>
    <row r="4" spans="1:11" ht="15.6" thickTop="1" thickBot="1" x14ac:dyDescent="0.35">
      <c r="J4" s="6" t="s">
        <v>13</v>
      </c>
      <c r="K4" s="6"/>
    </row>
    <row r="5" spans="1:11" ht="15" thickTop="1" x14ac:dyDescent="0.3">
      <c r="J5" s="5" t="s">
        <v>12</v>
      </c>
      <c r="K5" s="4"/>
    </row>
    <row r="9" spans="1:11" ht="15" thickBot="1" x14ac:dyDescent="0.35"/>
    <row r="10" spans="1:11" ht="15" thickBot="1" x14ac:dyDescent="0.35">
      <c r="C10" s="399" t="s">
        <v>3</v>
      </c>
      <c r="D10" s="400"/>
      <c r="E10" s="400"/>
      <c r="F10" s="400"/>
      <c r="G10" s="400"/>
      <c r="H10" s="400"/>
      <c r="I10" s="401"/>
    </row>
    <row r="21" spans="1:21" ht="15" thickBot="1" x14ac:dyDescent="0.35"/>
    <row r="22" spans="1:21" ht="15" thickBot="1" x14ac:dyDescent="0.35">
      <c r="C22" s="399" t="s">
        <v>10</v>
      </c>
      <c r="D22" s="400"/>
      <c r="E22" s="400"/>
      <c r="F22" s="400"/>
      <c r="G22" s="400"/>
      <c r="H22" s="400"/>
      <c r="I22" s="400"/>
      <c r="J22" s="401"/>
      <c r="L22" s="399" t="s">
        <v>0</v>
      </c>
      <c r="M22" s="400"/>
      <c r="N22" s="400"/>
      <c r="O22" s="400"/>
      <c r="P22" s="401"/>
      <c r="Q22" s="39"/>
      <c r="R22" s="39"/>
      <c r="S22" s="39"/>
    </row>
    <row r="23" spans="1:21" x14ac:dyDescent="0.3">
      <c r="A23" t="s">
        <v>9</v>
      </c>
    </row>
    <row r="24" spans="1:21" ht="43.2" x14ac:dyDescent="0.3">
      <c r="C24" s="29" t="s">
        <v>813</v>
      </c>
      <c r="D24" s="29" t="s">
        <v>812</v>
      </c>
      <c r="E24" s="29" t="s">
        <v>823</v>
      </c>
      <c r="F24" s="29" t="s">
        <v>809</v>
      </c>
      <c r="G24" s="29" t="s">
        <v>822</v>
      </c>
      <c r="H24" s="29" t="s">
        <v>821</v>
      </c>
      <c r="L24" s="2" t="s">
        <v>558</v>
      </c>
      <c r="M24" s="2"/>
      <c r="N24" s="2"/>
      <c r="O24" s="2"/>
      <c r="P24" s="2"/>
      <c r="Q24" s="2"/>
      <c r="R24" s="2"/>
      <c r="S24" s="2"/>
      <c r="T24" s="2"/>
      <c r="U24" s="2"/>
    </row>
    <row r="25" spans="1:21" x14ac:dyDescent="0.3">
      <c r="C25" s="28" t="s">
        <v>820</v>
      </c>
      <c r="D25" s="28" t="s">
        <v>819</v>
      </c>
      <c r="E25" s="28" t="s">
        <v>803</v>
      </c>
      <c r="F25" s="28" t="s">
        <v>818</v>
      </c>
      <c r="G25" s="263">
        <v>4000</v>
      </c>
      <c r="H25" s="28" t="s">
        <v>688</v>
      </c>
      <c r="L25" t="s">
        <v>820</v>
      </c>
    </row>
    <row r="26" spans="1:21" x14ac:dyDescent="0.3">
      <c r="C26" s="28" t="s">
        <v>817</v>
      </c>
      <c r="D26" s="28" t="s">
        <v>804</v>
      </c>
      <c r="E26" s="28" t="s">
        <v>803</v>
      </c>
      <c r="F26" s="28" t="s">
        <v>797</v>
      </c>
      <c r="G26" s="28" t="s">
        <v>688</v>
      </c>
      <c r="H26" s="263">
        <v>550</v>
      </c>
      <c r="L26" t="s">
        <v>987</v>
      </c>
      <c r="M26" s="4">
        <v>0</v>
      </c>
      <c r="N26" s="8" t="s">
        <v>986</v>
      </c>
      <c r="O26" s="8"/>
      <c r="P26" s="8"/>
      <c r="Q26" s="8"/>
      <c r="R26" s="8"/>
    </row>
    <row r="27" spans="1:21" x14ac:dyDescent="0.3">
      <c r="C27" s="28" t="s">
        <v>816</v>
      </c>
      <c r="D27" s="28" t="s">
        <v>798</v>
      </c>
      <c r="E27" s="28" t="s">
        <v>797</v>
      </c>
      <c r="F27" s="28" t="s">
        <v>688</v>
      </c>
      <c r="G27" s="263">
        <v>3000</v>
      </c>
      <c r="H27" s="263">
        <v>1000</v>
      </c>
    </row>
    <row r="28" spans="1:21" x14ac:dyDescent="0.3">
      <c r="C28" s="28" t="s">
        <v>815</v>
      </c>
      <c r="D28" s="28" t="s">
        <v>804</v>
      </c>
      <c r="E28" s="28" t="s">
        <v>688</v>
      </c>
      <c r="F28" s="28" t="s">
        <v>793</v>
      </c>
      <c r="G28" s="263">
        <v>12000</v>
      </c>
      <c r="H28" s="263">
        <v>8000</v>
      </c>
      <c r="N28" s="68" t="s">
        <v>985</v>
      </c>
    </row>
    <row r="29" spans="1:21" x14ac:dyDescent="0.3">
      <c r="N29" t="s">
        <v>984</v>
      </c>
    </row>
    <row r="30" spans="1:21" x14ac:dyDescent="0.3">
      <c r="N30" t="s">
        <v>983</v>
      </c>
    </row>
    <row r="31" spans="1:21" x14ac:dyDescent="0.3">
      <c r="N31" t="s">
        <v>982</v>
      </c>
    </row>
    <row r="32" spans="1:21" x14ac:dyDescent="0.3">
      <c r="N32" t="s">
        <v>981</v>
      </c>
    </row>
    <row r="33" spans="12:14" x14ac:dyDescent="0.3">
      <c r="N33" t="s">
        <v>980</v>
      </c>
    </row>
    <row r="34" spans="12:14" x14ac:dyDescent="0.3">
      <c r="N34" t="s">
        <v>979</v>
      </c>
    </row>
    <row r="35" spans="12:14" x14ac:dyDescent="0.3">
      <c r="N35" t="s">
        <v>978</v>
      </c>
    </row>
    <row r="37" spans="12:14" x14ac:dyDescent="0.3">
      <c r="L37" t="s">
        <v>817</v>
      </c>
    </row>
    <row r="38" spans="12:14" x14ac:dyDescent="0.3">
      <c r="L38" t="s">
        <v>974</v>
      </c>
      <c r="M38" s="283"/>
    </row>
    <row r="39" spans="12:14" x14ac:dyDescent="0.3">
      <c r="L39">
        <f>6/12</f>
        <v>0.5</v>
      </c>
      <c r="M39" s="283"/>
    </row>
    <row r="41" spans="12:14" x14ac:dyDescent="0.3">
      <c r="L41" t="s">
        <v>485</v>
      </c>
      <c r="M41" s="4">
        <f>H26/L39</f>
        <v>1100</v>
      </c>
    </row>
    <row r="44" spans="12:14" x14ac:dyDescent="0.3">
      <c r="L44" t="s">
        <v>816</v>
      </c>
    </row>
    <row r="45" spans="12:14" x14ac:dyDescent="0.3">
      <c r="L45" t="s">
        <v>974</v>
      </c>
    </row>
    <row r="46" spans="12:14" x14ac:dyDescent="0.3">
      <c r="L46">
        <f>H27/G27</f>
        <v>0.33333333333333331</v>
      </c>
      <c r="M46" t="s">
        <v>977</v>
      </c>
    </row>
    <row r="48" spans="12:14" x14ac:dyDescent="0.3">
      <c r="L48" t="s">
        <v>976</v>
      </c>
    </row>
    <row r="49" spans="1:13" x14ac:dyDescent="0.3">
      <c r="L49" s="5" t="s">
        <v>975</v>
      </c>
    </row>
    <row r="52" spans="1:13" x14ac:dyDescent="0.3">
      <c r="L52" t="s">
        <v>815</v>
      </c>
    </row>
    <row r="53" spans="1:13" x14ac:dyDescent="0.3">
      <c r="L53" t="s">
        <v>974</v>
      </c>
    </row>
    <row r="54" spans="1:13" x14ac:dyDescent="0.3">
      <c r="L54">
        <f>H28/G28</f>
        <v>0.66666666666666663</v>
      </c>
      <c r="M54" t="s">
        <v>973</v>
      </c>
    </row>
    <row r="56" spans="1:13" x14ac:dyDescent="0.3">
      <c r="L56" t="s">
        <v>972</v>
      </c>
    </row>
    <row r="57" spans="1:13" x14ac:dyDescent="0.3">
      <c r="L57" s="5" t="s">
        <v>971</v>
      </c>
    </row>
    <row r="61" spans="1:13" s="2" customFormat="1" x14ac:dyDescent="0.3">
      <c r="A61" s="2" t="s">
        <v>4</v>
      </c>
    </row>
    <row r="63" spans="1:13" ht="15" thickBot="1" x14ac:dyDescent="0.35"/>
    <row r="64" spans="1:13" ht="15" thickBot="1" x14ac:dyDescent="0.35">
      <c r="C64" s="399" t="s">
        <v>10</v>
      </c>
      <c r="D64" s="400"/>
      <c r="E64" s="400"/>
      <c r="F64" s="400"/>
      <c r="G64" s="400"/>
      <c r="H64" s="400"/>
      <c r="I64" s="400"/>
      <c r="J64" s="401"/>
    </row>
    <row r="66" spans="3:22" x14ac:dyDescent="0.3">
      <c r="C66" t="s">
        <v>814</v>
      </c>
    </row>
    <row r="68" spans="3:22" x14ac:dyDescent="0.3">
      <c r="O68" s="76" t="s">
        <v>970</v>
      </c>
    </row>
    <row r="69" spans="3:22" ht="57.6" x14ac:dyDescent="0.3">
      <c r="C69" s="29" t="s">
        <v>813</v>
      </c>
      <c r="D69" s="29" t="s">
        <v>812</v>
      </c>
      <c r="E69" s="29" t="s">
        <v>811</v>
      </c>
      <c r="F69" s="29" t="s">
        <v>810</v>
      </c>
      <c r="G69" s="29" t="s">
        <v>809</v>
      </c>
      <c r="H69" s="29" t="s">
        <v>808</v>
      </c>
      <c r="I69" s="29" t="s">
        <v>807</v>
      </c>
      <c r="J69" s="29" t="s">
        <v>806</v>
      </c>
      <c r="L69" s="28" t="s">
        <v>158</v>
      </c>
      <c r="M69" s="28" t="s">
        <v>969</v>
      </c>
      <c r="N69" s="28" t="s">
        <v>968</v>
      </c>
      <c r="O69" s="28" t="s">
        <v>967</v>
      </c>
      <c r="P69" s="28" t="s">
        <v>966</v>
      </c>
      <c r="Q69" s="28" t="s">
        <v>965</v>
      </c>
      <c r="R69" s="28" t="s">
        <v>964</v>
      </c>
    </row>
    <row r="70" spans="3:22" x14ac:dyDescent="0.3">
      <c r="C70" s="58" t="s">
        <v>805</v>
      </c>
      <c r="D70" s="58" t="s">
        <v>804</v>
      </c>
      <c r="E70" s="262">
        <v>20000</v>
      </c>
      <c r="F70" s="58" t="s">
        <v>803</v>
      </c>
      <c r="G70" s="58" t="s">
        <v>803</v>
      </c>
      <c r="H70" s="262">
        <v>25000</v>
      </c>
      <c r="I70" s="58" t="s">
        <v>688</v>
      </c>
      <c r="J70" s="58" t="s">
        <v>688</v>
      </c>
      <c r="L70" s="28" t="str">
        <f t="shared" ref="L70:M73" si="0">C70</f>
        <v>#005</v>
      </c>
      <c r="M70" s="28" t="str">
        <f t="shared" si="0"/>
        <v>Annual</v>
      </c>
      <c r="N70" s="263">
        <f>E70/1</f>
        <v>20000</v>
      </c>
      <c r="O70" s="28">
        <v>1</v>
      </c>
      <c r="P70" s="263">
        <f>N70*O70</f>
        <v>20000</v>
      </c>
      <c r="Q70" s="263">
        <f>H70</f>
        <v>25000</v>
      </c>
      <c r="R70" s="293">
        <f>Q70-P70</f>
        <v>5000</v>
      </c>
      <c r="S70" s="8" t="s">
        <v>963</v>
      </c>
      <c r="T70" s="8"/>
      <c r="U70" s="8"/>
      <c r="V70" s="8"/>
    </row>
    <row r="71" spans="3:22" x14ac:dyDescent="0.3">
      <c r="C71" s="58" t="s">
        <v>802</v>
      </c>
      <c r="D71" s="58" t="s">
        <v>794</v>
      </c>
      <c r="E71" s="262">
        <v>6000</v>
      </c>
      <c r="F71" s="58" t="s">
        <v>797</v>
      </c>
      <c r="G71" s="58" t="s">
        <v>801</v>
      </c>
      <c r="H71" s="58" t="s">
        <v>688</v>
      </c>
      <c r="I71" s="58" t="s">
        <v>800</v>
      </c>
      <c r="J71" s="58" t="s">
        <v>688</v>
      </c>
      <c r="L71" s="28" t="str">
        <f t="shared" si="0"/>
        <v>#006</v>
      </c>
      <c r="M71" s="28" t="str">
        <f t="shared" si="0"/>
        <v>Monthly</v>
      </c>
      <c r="N71" s="263">
        <f>E71/12</f>
        <v>500</v>
      </c>
      <c r="O71" s="28">
        <v>3</v>
      </c>
      <c r="P71" s="263">
        <f>N71*O71</f>
        <v>1500</v>
      </c>
      <c r="Q71" s="295">
        <f>P71-1000</f>
        <v>500</v>
      </c>
      <c r="R71" s="42">
        <f>Q71-P71</f>
        <v>-1000</v>
      </c>
      <c r="S71" s="8" t="s">
        <v>962</v>
      </c>
      <c r="T71" s="8"/>
      <c r="U71" s="8"/>
      <c r="V71" s="8"/>
    </row>
    <row r="72" spans="3:22" x14ac:dyDescent="0.3">
      <c r="C72" s="58" t="s">
        <v>799</v>
      </c>
      <c r="D72" s="58" t="s">
        <v>798</v>
      </c>
      <c r="E72" s="262">
        <v>12000</v>
      </c>
      <c r="F72" s="58" t="s">
        <v>797</v>
      </c>
      <c r="G72" s="58" t="s">
        <v>688</v>
      </c>
      <c r="H72" s="262">
        <v>3000</v>
      </c>
      <c r="I72" s="58" t="s">
        <v>796</v>
      </c>
      <c r="J72" s="58" t="s">
        <v>688</v>
      </c>
      <c r="L72" s="28" t="str">
        <f t="shared" si="0"/>
        <v>#007</v>
      </c>
      <c r="M72" s="28" t="str">
        <f t="shared" si="0"/>
        <v>Quarterly</v>
      </c>
      <c r="N72" s="263">
        <f>E72/4</f>
        <v>3000</v>
      </c>
      <c r="O72" s="294">
        <v>2</v>
      </c>
      <c r="P72" s="263">
        <f>N72*O72</f>
        <v>6000</v>
      </c>
      <c r="Q72" s="263">
        <f>H72</f>
        <v>3000</v>
      </c>
      <c r="R72" s="42">
        <f>Q72-P72</f>
        <v>-3000</v>
      </c>
      <c r="S72" s="8" t="s">
        <v>962</v>
      </c>
      <c r="T72" s="8"/>
      <c r="U72" s="8"/>
      <c r="V72" s="8"/>
    </row>
    <row r="73" spans="3:22" x14ac:dyDescent="0.3">
      <c r="C73" s="58" t="s">
        <v>795</v>
      </c>
      <c r="D73" s="58" t="s">
        <v>794</v>
      </c>
      <c r="E73" s="262">
        <v>15000</v>
      </c>
      <c r="F73" s="58" t="s">
        <v>793</v>
      </c>
      <c r="G73" s="58" t="s">
        <v>793</v>
      </c>
      <c r="H73" s="262">
        <v>1250</v>
      </c>
      <c r="I73" s="58" t="s">
        <v>688</v>
      </c>
      <c r="J73" s="58" t="s">
        <v>688</v>
      </c>
      <c r="L73" s="28" t="str">
        <f t="shared" si="0"/>
        <v>#008</v>
      </c>
      <c r="M73" s="28" t="str">
        <f t="shared" si="0"/>
        <v>Monthly</v>
      </c>
      <c r="N73" s="263">
        <f>E73/12</f>
        <v>1250</v>
      </c>
      <c r="O73" s="28">
        <v>1</v>
      </c>
      <c r="P73" s="263">
        <f>N73*O73</f>
        <v>1250</v>
      </c>
      <c r="Q73" s="263">
        <f>H73</f>
        <v>1250</v>
      </c>
      <c r="R73" s="293">
        <f>Q73-P73</f>
        <v>0</v>
      </c>
      <c r="S73" s="8" t="s">
        <v>961</v>
      </c>
      <c r="T73" s="8"/>
      <c r="U73" s="8"/>
    </row>
    <row r="74" spans="3:22" ht="17.25" customHeight="1" x14ac:dyDescent="0.3"/>
    <row r="75" spans="3:22" ht="29.1" customHeight="1" x14ac:dyDescent="0.3"/>
    <row r="77" spans="3:22" ht="43.8" customHeight="1" x14ac:dyDescent="0.3">
      <c r="L77" s="29" t="s">
        <v>813</v>
      </c>
      <c r="M77" s="29" t="s">
        <v>809</v>
      </c>
      <c r="N77" s="29" t="s">
        <v>808</v>
      </c>
      <c r="O77" s="29" t="s">
        <v>807</v>
      </c>
      <c r="P77" s="430" t="s">
        <v>806</v>
      </c>
      <c r="Q77" s="431"/>
      <c r="R77" s="431"/>
      <c r="S77" s="432"/>
    </row>
    <row r="78" spans="3:22" x14ac:dyDescent="0.3">
      <c r="L78" s="28" t="s">
        <v>805</v>
      </c>
      <c r="M78" s="30" t="s">
        <v>803</v>
      </c>
      <c r="N78" s="42">
        <v>25000</v>
      </c>
      <c r="O78" s="58" t="s">
        <v>960</v>
      </c>
      <c r="P78" s="291" t="s">
        <v>959</v>
      </c>
      <c r="Q78" s="290"/>
      <c r="R78" s="290"/>
      <c r="S78" s="289"/>
    </row>
    <row r="79" spans="3:22" x14ac:dyDescent="0.3">
      <c r="L79" s="28" t="s">
        <v>802</v>
      </c>
      <c r="M79" s="30" t="s">
        <v>801</v>
      </c>
      <c r="N79" s="133">
        <f>(E71/12)*3-1000</f>
        <v>500</v>
      </c>
      <c r="O79" s="58" t="s">
        <v>800</v>
      </c>
      <c r="P79" s="291" t="s">
        <v>957</v>
      </c>
      <c r="Q79" s="290"/>
      <c r="R79" s="290"/>
      <c r="S79" s="289"/>
    </row>
    <row r="80" spans="3:22" x14ac:dyDescent="0.3">
      <c r="L80" s="28" t="s">
        <v>799</v>
      </c>
      <c r="M80" s="5" t="s">
        <v>958</v>
      </c>
      <c r="N80" s="42">
        <v>3000</v>
      </c>
      <c r="O80" s="58" t="s">
        <v>796</v>
      </c>
      <c r="P80" s="291" t="s">
        <v>957</v>
      </c>
      <c r="Q80" s="290"/>
      <c r="R80" s="290"/>
      <c r="S80" s="289"/>
    </row>
    <row r="81" spans="12:19" x14ac:dyDescent="0.3">
      <c r="L81" s="28" t="s">
        <v>795</v>
      </c>
      <c r="M81" s="30" t="s">
        <v>793</v>
      </c>
      <c r="N81" s="42">
        <v>1250</v>
      </c>
      <c r="O81" s="292">
        <v>0</v>
      </c>
      <c r="P81" s="291" t="s">
        <v>956</v>
      </c>
      <c r="Q81" s="290"/>
      <c r="R81" s="290"/>
      <c r="S81" s="289"/>
    </row>
    <row r="84" spans="12:19" ht="13.05" customHeight="1" x14ac:dyDescent="0.3"/>
    <row r="85" spans="12:19" ht="13.05" customHeight="1" x14ac:dyDescent="0.3"/>
    <row r="86" spans="12:19" ht="13.05" customHeight="1" x14ac:dyDescent="0.3"/>
  </sheetData>
  <mergeCells count="5">
    <mergeCell ref="P77:S77"/>
    <mergeCell ref="C10:I10"/>
    <mergeCell ref="C22:J22"/>
    <mergeCell ref="L22:P22"/>
    <mergeCell ref="C64:J64"/>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AB51-5E11-40FC-B5E9-A0FE0C5A7129}">
  <sheetPr>
    <tabColor theme="5" tint="0.59999389629810485"/>
  </sheetPr>
  <dimension ref="A1:V54"/>
  <sheetViews>
    <sheetView zoomScaleNormal="100" workbookViewId="0">
      <selection activeCell="G54" sqref="G54"/>
    </sheetView>
  </sheetViews>
  <sheetFormatPr defaultColWidth="9.33203125" defaultRowHeight="14.4" x14ac:dyDescent="0.3"/>
  <cols>
    <col min="1" max="1" width="9.33203125" style="264"/>
    <col min="2" max="2" width="9.33203125" style="264" bestFit="1" customWidth="1"/>
    <col min="3" max="3" width="9.33203125" style="264"/>
    <col min="4" max="4" width="9.33203125" style="264" bestFit="1" customWidth="1"/>
    <col min="5" max="5" width="12.88671875" style="264" customWidth="1"/>
    <col min="6" max="6" width="14.5546875" style="264" customWidth="1"/>
    <col min="7" max="7" width="16.33203125" style="264" customWidth="1"/>
    <col min="8" max="9" width="9.33203125" style="264"/>
    <col min="10" max="10" width="12.33203125" style="264" bestFit="1" customWidth="1"/>
    <col min="11" max="11" width="14.5546875" style="264" customWidth="1"/>
    <col min="12" max="12" width="14.6640625" style="264" customWidth="1"/>
    <col min="13" max="13" width="15.6640625" style="264" customWidth="1"/>
    <col min="14" max="14" width="10.88671875" style="264" bestFit="1" customWidth="1"/>
    <col min="15" max="15" width="9.5546875" style="264" bestFit="1" customWidth="1"/>
    <col min="16" max="16" width="11.88671875" style="264" customWidth="1"/>
    <col min="17" max="17" width="9.33203125" style="264"/>
    <col min="18" max="18" width="14.88671875" style="264" customWidth="1"/>
    <col min="19" max="21" width="10.88671875" style="264" bestFit="1" customWidth="1"/>
    <col min="22" max="22" width="12.33203125" style="264" bestFit="1" customWidth="1"/>
    <col min="23" max="16384" width="9.33203125" style="264"/>
  </cols>
  <sheetData>
    <row r="1" spans="1:22" ht="15" thickBot="1" x14ac:dyDescent="0.35">
      <c r="A1" s="264" t="s">
        <v>839</v>
      </c>
      <c r="G1" s="10" t="s">
        <v>16</v>
      </c>
      <c r="H1" s="280"/>
    </row>
    <row r="2" spans="1:22" x14ac:dyDescent="0.3">
      <c r="G2" s="279" t="s">
        <v>15</v>
      </c>
      <c r="H2" s="279"/>
    </row>
    <row r="3" spans="1:22" ht="15" thickBot="1" x14ac:dyDescent="0.35">
      <c r="G3" s="7" t="s">
        <v>14</v>
      </c>
      <c r="H3" s="7"/>
    </row>
    <row r="4" spans="1:22" ht="15.6" thickTop="1" thickBot="1" x14ac:dyDescent="0.35">
      <c r="G4" s="6" t="s">
        <v>13</v>
      </c>
      <c r="H4" s="6"/>
    </row>
    <row r="5" spans="1:22" ht="15" thickTop="1" x14ac:dyDescent="0.3">
      <c r="G5" s="278" t="s">
        <v>12</v>
      </c>
      <c r="H5" s="277"/>
    </row>
    <row r="6" spans="1:22" ht="15" thickBot="1" x14ac:dyDescent="0.35"/>
    <row r="7" spans="1:22" ht="15" thickBot="1" x14ac:dyDescent="0.35">
      <c r="C7" s="399" t="s">
        <v>3</v>
      </c>
      <c r="D7" s="400"/>
      <c r="E7" s="400"/>
      <c r="F7" s="401"/>
    </row>
    <row r="9" spans="1:22" x14ac:dyDescent="0.3">
      <c r="C9" s="264" t="s">
        <v>838</v>
      </c>
    </row>
    <row r="10" spans="1:22" x14ac:dyDescent="0.3">
      <c r="C10" s="264" t="s">
        <v>837</v>
      </c>
    </row>
    <row r="11" spans="1:22" x14ac:dyDescent="0.3">
      <c r="C11" s="264" t="s">
        <v>836</v>
      </c>
      <c r="R11" s="275"/>
    </row>
    <row r="12" spans="1:22" x14ac:dyDescent="0.3">
      <c r="C12" s="264" t="s">
        <v>835</v>
      </c>
      <c r="R12" s="275"/>
      <c r="T12" s="275"/>
    </row>
    <row r="13" spans="1:22" x14ac:dyDescent="0.3">
      <c r="C13" s="264" t="s">
        <v>834</v>
      </c>
      <c r="T13" s="275"/>
      <c r="V13" s="275"/>
    </row>
    <row r="14" spans="1:22" x14ac:dyDescent="0.3">
      <c r="C14" s="264" t="s">
        <v>833</v>
      </c>
    </row>
    <row r="15" spans="1:22" x14ac:dyDescent="0.3">
      <c r="B15" s="276">
        <v>0.05</v>
      </c>
      <c r="C15" s="264" t="s">
        <v>832</v>
      </c>
      <c r="V15" s="275"/>
    </row>
    <row r="17" spans="2:13" x14ac:dyDescent="0.3">
      <c r="B17" s="264">
        <v>1000</v>
      </c>
      <c r="C17" s="264" t="s">
        <v>831</v>
      </c>
    </row>
    <row r="18" spans="2:13" ht="15" thickBot="1" x14ac:dyDescent="0.35"/>
    <row r="19" spans="2:13" ht="15" thickBot="1" x14ac:dyDescent="0.35">
      <c r="C19" s="399" t="s">
        <v>10</v>
      </c>
      <c r="D19" s="400"/>
      <c r="E19" s="400"/>
      <c r="F19" s="400"/>
      <c r="G19" s="401"/>
      <c r="I19" s="399" t="s">
        <v>0</v>
      </c>
      <c r="J19" s="400"/>
      <c r="K19" s="400"/>
      <c r="L19" s="400"/>
      <c r="M19" s="401"/>
    </row>
    <row r="20" spans="2:13" ht="15" thickBot="1" x14ac:dyDescent="0.35"/>
    <row r="21" spans="2:13" ht="43.8" thickBot="1" x14ac:dyDescent="0.35">
      <c r="C21" s="274" t="s">
        <v>279</v>
      </c>
      <c r="D21" s="273" t="s">
        <v>830</v>
      </c>
      <c r="E21" s="273" t="s">
        <v>829</v>
      </c>
      <c r="F21" s="273" t="s">
        <v>828</v>
      </c>
      <c r="G21" s="273" t="s">
        <v>827</v>
      </c>
    </row>
    <row r="22" spans="2:13" ht="15" thickBot="1" x14ac:dyDescent="0.35">
      <c r="C22" s="270" t="s">
        <v>393</v>
      </c>
      <c r="D22" s="272" t="s">
        <v>826</v>
      </c>
      <c r="E22" s="266" t="s">
        <v>825</v>
      </c>
      <c r="F22" s="271">
        <v>824071.11</v>
      </c>
      <c r="G22" s="266" t="s">
        <v>784</v>
      </c>
    </row>
    <row r="23" spans="2:13" ht="15" thickBot="1" x14ac:dyDescent="0.35">
      <c r="C23" s="270" t="s">
        <v>389</v>
      </c>
      <c r="D23" s="269">
        <v>700</v>
      </c>
      <c r="E23" s="268">
        <v>5830</v>
      </c>
      <c r="F23" s="266" t="s">
        <v>781</v>
      </c>
      <c r="G23" s="266" t="s">
        <v>784</v>
      </c>
    </row>
    <row r="24" spans="2:13" ht="15" thickBot="1" x14ac:dyDescent="0.35">
      <c r="C24" s="270" t="s">
        <v>451</v>
      </c>
      <c r="D24" s="269">
        <v>300</v>
      </c>
      <c r="E24" s="268">
        <v>6430</v>
      </c>
      <c r="F24" s="266" t="s">
        <v>783</v>
      </c>
      <c r="G24" s="266" t="s">
        <v>784</v>
      </c>
    </row>
    <row r="25" spans="2:13" ht="15" thickBot="1" x14ac:dyDescent="0.35">
      <c r="C25" s="270" t="s">
        <v>450</v>
      </c>
      <c r="D25" s="269">
        <v>100</v>
      </c>
      <c r="E25" s="268">
        <v>6830</v>
      </c>
      <c r="F25" s="271">
        <v>141094.54999999999</v>
      </c>
      <c r="G25" s="266" t="s">
        <v>784</v>
      </c>
    </row>
    <row r="26" spans="2:13" ht="15" thickBot="1" x14ac:dyDescent="0.35">
      <c r="C26" s="270" t="s">
        <v>449</v>
      </c>
      <c r="D26" s="269">
        <v>0</v>
      </c>
      <c r="E26" s="268">
        <v>7250</v>
      </c>
      <c r="F26" s="267">
        <v>0</v>
      </c>
      <c r="G26" s="266" t="s">
        <v>784</v>
      </c>
    </row>
    <row r="54" spans="1:1" s="265" customFormat="1" x14ac:dyDescent="0.3">
      <c r="A54" s="265" t="s">
        <v>4</v>
      </c>
    </row>
  </sheetData>
  <mergeCells count="3">
    <mergeCell ref="C7:F7"/>
    <mergeCell ref="C19:G19"/>
    <mergeCell ref="I19:M19"/>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C563-8372-4AB8-9A14-A981B508B112}">
  <sheetPr>
    <tabColor theme="9" tint="0.59999389629810485"/>
  </sheetPr>
  <dimension ref="A1:AA68"/>
  <sheetViews>
    <sheetView zoomScaleNormal="100" workbookViewId="0">
      <selection activeCell="N47" sqref="N47"/>
    </sheetView>
  </sheetViews>
  <sheetFormatPr defaultColWidth="9.33203125" defaultRowHeight="14.4" x14ac:dyDescent="0.3"/>
  <cols>
    <col min="1" max="1" width="9.33203125" style="264"/>
    <col min="2" max="2" width="9.33203125" style="264" bestFit="1" customWidth="1"/>
    <col min="3" max="3" width="9.33203125" style="264"/>
    <col min="4" max="4" width="9.33203125" style="264" bestFit="1" customWidth="1"/>
    <col min="5" max="5" width="12.88671875" style="264" customWidth="1"/>
    <col min="6" max="6" width="14.5546875" style="264" customWidth="1"/>
    <col min="7" max="7" width="16.33203125" style="264" customWidth="1"/>
    <col min="8" max="9" width="9.33203125" style="264"/>
    <col min="10" max="10" width="12.33203125" style="264" bestFit="1" customWidth="1"/>
    <col min="11" max="11" width="14.5546875" style="264" customWidth="1"/>
    <col min="12" max="12" width="14.6640625" style="264" customWidth="1"/>
    <col min="13" max="13" width="15.6640625" style="264" customWidth="1"/>
    <col min="14" max="14" width="10.88671875" style="264" bestFit="1" customWidth="1"/>
    <col min="15" max="15" width="9.5546875" style="264" bestFit="1" customWidth="1"/>
    <col min="16" max="16" width="11.88671875" style="264" customWidth="1"/>
    <col min="17" max="17" width="9.33203125" style="264"/>
    <col min="18" max="18" width="14.88671875" style="264" customWidth="1"/>
    <col min="19" max="21" width="10.88671875" style="264" bestFit="1" customWidth="1"/>
    <col min="22" max="22" width="12.33203125" style="264" bestFit="1" customWidth="1"/>
    <col min="23" max="16384" width="9.33203125" style="264"/>
  </cols>
  <sheetData>
    <row r="1" spans="1:22" ht="15" thickBot="1" x14ac:dyDescent="0.35">
      <c r="A1" s="264" t="s">
        <v>839</v>
      </c>
      <c r="G1" s="10" t="s">
        <v>16</v>
      </c>
      <c r="H1" s="280"/>
    </row>
    <row r="2" spans="1:22" x14ac:dyDescent="0.3">
      <c r="G2" s="279" t="s">
        <v>15</v>
      </c>
      <c r="H2" s="279"/>
    </row>
    <row r="3" spans="1:22" ht="15" thickBot="1" x14ac:dyDescent="0.35">
      <c r="G3" s="7" t="s">
        <v>14</v>
      </c>
      <c r="H3" s="7"/>
    </row>
    <row r="4" spans="1:22" ht="15.6" thickTop="1" thickBot="1" x14ac:dyDescent="0.35">
      <c r="G4" s="6" t="s">
        <v>13</v>
      </c>
      <c r="H4" s="6"/>
    </row>
    <row r="5" spans="1:22" ht="15" thickTop="1" x14ac:dyDescent="0.3">
      <c r="G5" s="278" t="s">
        <v>12</v>
      </c>
      <c r="H5" s="277"/>
    </row>
    <row r="6" spans="1:22" ht="15" thickBot="1" x14ac:dyDescent="0.35"/>
    <row r="7" spans="1:22" ht="15" thickBot="1" x14ac:dyDescent="0.35">
      <c r="C7" s="399" t="s">
        <v>3</v>
      </c>
      <c r="D7" s="400"/>
      <c r="E7" s="400"/>
      <c r="F7" s="401"/>
    </row>
    <row r="9" spans="1:22" x14ac:dyDescent="0.3">
      <c r="C9" s="264" t="s">
        <v>838</v>
      </c>
    </row>
    <row r="10" spans="1:22" x14ac:dyDescent="0.3">
      <c r="C10" s="264" t="s">
        <v>837</v>
      </c>
    </row>
    <row r="11" spans="1:22" x14ac:dyDescent="0.3">
      <c r="C11" s="264" t="s">
        <v>836</v>
      </c>
      <c r="R11" s="275"/>
    </row>
    <row r="12" spans="1:22" x14ac:dyDescent="0.3">
      <c r="C12" s="264" t="s">
        <v>835</v>
      </c>
      <c r="R12" s="275"/>
      <c r="T12" s="275"/>
    </row>
    <row r="13" spans="1:22" x14ac:dyDescent="0.3">
      <c r="C13" s="264" t="s">
        <v>834</v>
      </c>
      <c r="T13" s="275"/>
      <c r="V13" s="275"/>
    </row>
    <row r="14" spans="1:22" x14ac:dyDescent="0.3">
      <c r="C14" s="264" t="s">
        <v>833</v>
      </c>
    </row>
    <row r="15" spans="1:22" x14ac:dyDescent="0.3">
      <c r="B15" s="276">
        <v>0.05</v>
      </c>
      <c r="C15" s="264" t="s">
        <v>832</v>
      </c>
      <c r="V15" s="275"/>
    </row>
    <row r="17" spans="2:25" x14ac:dyDescent="0.3">
      <c r="B17" s="264">
        <v>1000</v>
      </c>
      <c r="C17" s="264" t="s">
        <v>831</v>
      </c>
    </row>
    <row r="18" spans="2:25" ht="15" thickBot="1" x14ac:dyDescent="0.35"/>
    <row r="19" spans="2:25" ht="15" thickBot="1" x14ac:dyDescent="0.35">
      <c r="C19" s="399" t="s">
        <v>10</v>
      </c>
      <c r="D19" s="400"/>
      <c r="E19" s="400"/>
      <c r="F19" s="400"/>
      <c r="G19" s="401"/>
      <c r="I19" s="399" t="s">
        <v>0</v>
      </c>
      <c r="J19" s="400"/>
      <c r="K19" s="400"/>
      <c r="L19" s="400"/>
      <c r="M19" s="401"/>
    </row>
    <row r="20" spans="2:25" ht="15" thickBot="1" x14ac:dyDescent="0.35">
      <c r="P20" s="433" t="s">
        <v>997</v>
      </c>
      <c r="Q20" s="433"/>
    </row>
    <row r="21" spans="2:25" ht="43.8" thickBot="1" x14ac:dyDescent="0.35">
      <c r="C21" s="274" t="s">
        <v>279</v>
      </c>
      <c r="D21" s="273" t="s">
        <v>830</v>
      </c>
      <c r="E21" s="273" t="s">
        <v>829</v>
      </c>
      <c r="F21" s="273" t="s">
        <v>828</v>
      </c>
      <c r="G21" s="273" t="s">
        <v>827</v>
      </c>
      <c r="I21" s="274" t="s">
        <v>279</v>
      </c>
      <c r="J21" s="273" t="s">
        <v>830</v>
      </c>
      <c r="K21" s="273" t="s">
        <v>829</v>
      </c>
      <c r="L21" s="273" t="s">
        <v>828</v>
      </c>
      <c r="M21" s="273" t="s">
        <v>827</v>
      </c>
      <c r="O21" s="301" t="s">
        <v>28</v>
      </c>
      <c r="P21" s="300" t="s">
        <v>993</v>
      </c>
      <c r="Q21" s="300" t="s">
        <v>992</v>
      </c>
      <c r="R21" s="300" t="s">
        <v>1010</v>
      </c>
    </row>
    <row r="22" spans="2:25" ht="15" thickBot="1" x14ac:dyDescent="0.35">
      <c r="C22" s="270" t="s">
        <v>393</v>
      </c>
      <c r="D22" s="272" t="s">
        <v>826</v>
      </c>
      <c r="E22" s="266" t="s">
        <v>825</v>
      </c>
      <c r="F22" s="271">
        <v>824071.11</v>
      </c>
      <c r="G22" s="266" t="s">
        <v>784</v>
      </c>
      <c r="I22" s="270"/>
      <c r="J22" s="269">
        <v>1000</v>
      </c>
      <c r="K22" s="269"/>
      <c r="L22" s="269"/>
      <c r="M22" s="269"/>
      <c r="O22" s="264">
        <v>0</v>
      </c>
      <c r="P22" s="264">
        <f>1/(1+$B$15)^O22</f>
        <v>1</v>
      </c>
      <c r="Q22" s="264">
        <f>1/(1+$B$15)^(O22+0.5)</f>
        <v>0.97590007294853309</v>
      </c>
      <c r="R22" s="275">
        <f>R23*(J24/J23)*(1+$B$15)^(-1)+K24*(1+$B$15)^(-0.5)-M24</f>
        <v>915.63169071138236</v>
      </c>
    </row>
    <row r="23" spans="2:25" ht="15" thickBot="1" x14ac:dyDescent="0.35">
      <c r="C23" s="270" t="s">
        <v>389</v>
      </c>
      <c r="D23" s="269">
        <v>700</v>
      </c>
      <c r="E23" s="268">
        <v>5830</v>
      </c>
      <c r="F23" s="266" t="s">
        <v>781</v>
      </c>
      <c r="G23" s="266" t="s">
        <v>784</v>
      </c>
      <c r="I23" s="270" t="s">
        <v>393</v>
      </c>
      <c r="J23" s="272">
        <v>900.00282685689206</v>
      </c>
      <c r="K23" s="266">
        <f>N36</f>
        <v>5000.0000364409952</v>
      </c>
      <c r="L23" s="271">
        <v>824071.11</v>
      </c>
      <c r="M23" s="266">
        <f>$N$33</f>
        <v>5664.3300288768651</v>
      </c>
      <c r="O23" s="264">
        <v>1</v>
      </c>
      <c r="P23" s="264">
        <f>1/(1+$B$15)^O23</f>
        <v>0.95238095238095233</v>
      </c>
      <c r="Q23" s="264">
        <f>1/(1+$B$15)^(O23+0.5)</f>
        <v>0.92942864090336497</v>
      </c>
      <c r="R23" s="275">
        <f>R24*(J25/J24)*(1+$B$15)^(-1)+K25*(1+$B$15)^(-0.5)-M25</f>
        <v>1202.1305731253951</v>
      </c>
    </row>
    <row r="24" spans="2:25" ht="15" thickBot="1" x14ac:dyDescent="0.35">
      <c r="C24" s="270" t="s">
        <v>451</v>
      </c>
      <c r="D24" s="269">
        <v>300</v>
      </c>
      <c r="E24" s="268">
        <v>6430</v>
      </c>
      <c r="F24" s="266" t="s">
        <v>783</v>
      </c>
      <c r="G24" s="266" t="s">
        <v>784</v>
      </c>
      <c r="I24" s="270" t="s">
        <v>389</v>
      </c>
      <c r="J24" s="269">
        <v>700</v>
      </c>
      <c r="K24" s="268">
        <v>5830</v>
      </c>
      <c r="L24" s="266">
        <f>R23*J24</f>
        <v>841491.40118777659</v>
      </c>
      <c r="M24" s="266">
        <f>$N$33</f>
        <v>5664.3300288768651</v>
      </c>
      <c r="O24" s="264">
        <v>2</v>
      </c>
      <c r="P24" s="264">
        <f>1/(1+$B$15)^O24</f>
        <v>0.90702947845804982</v>
      </c>
      <c r="Q24" s="264">
        <f>1/(1+$B$15)^(O24+0.5)</f>
        <v>0.88517013419368074</v>
      </c>
      <c r="R24" s="275">
        <f>R25*(J26/J25)*(1+$B$15)^(-1)+K26*(1+$B$15)^(-0.5)-M26</f>
        <v>1448.9866757108221</v>
      </c>
    </row>
    <row r="25" spans="2:25" ht="15" thickBot="1" x14ac:dyDescent="0.35">
      <c r="C25" s="270" t="s">
        <v>450</v>
      </c>
      <c r="D25" s="269">
        <v>100</v>
      </c>
      <c r="E25" s="268">
        <v>6830</v>
      </c>
      <c r="F25" s="271">
        <v>141094.54999999999</v>
      </c>
      <c r="G25" s="266" t="s">
        <v>784</v>
      </c>
      <c r="I25" s="270" t="s">
        <v>451</v>
      </c>
      <c r="J25" s="269">
        <v>300</v>
      </c>
      <c r="K25" s="268">
        <v>6430</v>
      </c>
      <c r="L25" s="266">
        <f>R24*J25</f>
        <v>434696.00271324662</v>
      </c>
      <c r="M25" s="266">
        <f>$N$33</f>
        <v>5664.3300288768651</v>
      </c>
      <c r="O25" s="264">
        <v>3</v>
      </c>
      <c r="P25" s="264">
        <f>1/(1+$B$15)^O25</f>
        <v>0.86383759853147601</v>
      </c>
      <c r="Q25" s="264">
        <f>1/(1+$B$15)^(O25+0.5)</f>
        <v>0.843019175422553</v>
      </c>
      <c r="R25" s="275">
        <f>L26/J26</f>
        <v>1410.9454999999998</v>
      </c>
      <c r="S25" s="279" t="s">
        <v>1009</v>
      </c>
      <c r="T25" s="279"/>
      <c r="U25" s="279"/>
      <c r="V25" s="279"/>
      <c r="W25" s="279"/>
      <c r="X25" s="279"/>
      <c r="Y25" s="279"/>
    </row>
    <row r="26" spans="2:25" ht="15" thickBot="1" x14ac:dyDescent="0.35">
      <c r="C26" s="270" t="s">
        <v>449</v>
      </c>
      <c r="D26" s="269">
        <v>0</v>
      </c>
      <c r="E26" s="268">
        <v>7250</v>
      </c>
      <c r="F26" s="267">
        <v>0</v>
      </c>
      <c r="G26" s="266" t="s">
        <v>784</v>
      </c>
      <c r="I26" s="270" t="s">
        <v>450</v>
      </c>
      <c r="J26" s="269">
        <v>100</v>
      </c>
      <c r="K26" s="268">
        <v>6830</v>
      </c>
      <c r="L26" s="271">
        <v>141094.54999999999</v>
      </c>
      <c r="M26" s="266">
        <f>$N$33</f>
        <v>5664.3300288768651</v>
      </c>
      <c r="O26" s="264">
        <v>4</v>
      </c>
      <c r="P26" s="264">
        <f>1/(1+$B$15)^O26</f>
        <v>0.82270247479188197</v>
      </c>
      <c r="Q26" s="264">
        <f>1/(1+$B$15)^(O26+0.5)</f>
        <v>0.80287540516433631</v>
      </c>
      <c r="R26" s="264">
        <v>0</v>
      </c>
      <c r="S26" s="279" t="s">
        <v>1008</v>
      </c>
      <c r="T26" s="279"/>
      <c r="U26" s="279"/>
      <c r="V26" s="279"/>
      <c r="W26" s="279"/>
    </row>
    <row r="27" spans="2:25" ht="15" thickBot="1" x14ac:dyDescent="0.35">
      <c r="I27" s="270" t="s">
        <v>449</v>
      </c>
      <c r="J27" s="269">
        <v>0</v>
      </c>
      <c r="K27" s="268">
        <v>7250</v>
      </c>
      <c r="L27" s="267">
        <v>0</v>
      </c>
      <c r="M27" s="266">
        <f>$N$33</f>
        <v>5664.3300288768651</v>
      </c>
      <c r="O27"/>
      <c r="P27"/>
      <c r="Q27"/>
    </row>
    <row r="29" spans="2:25" x14ac:dyDescent="0.3">
      <c r="K29" s="275">
        <f>SUMPRODUCT(K23:K27,Q22:Q26,J22:J26)/1000</f>
        <v>16049.809529835158</v>
      </c>
      <c r="M29" s="275">
        <f>SUMPRODUCT(M23:M27,P22:P26,J22:J26)/1000</f>
        <v>16049.809529835158</v>
      </c>
    </row>
    <row r="33" spans="8:27" x14ac:dyDescent="0.3">
      <c r="M33" s="307" t="s">
        <v>784</v>
      </c>
      <c r="N33" s="277">
        <f>(K27*(1+$B$15)^(-0.5))-R25</f>
        <v>5664.3300288768651</v>
      </c>
      <c r="O33" s="279" t="s">
        <v>1007</v>
      </c>
      <c r="P33" s="279"/>
      <c r="Q33" s="279"/>
      <c r="R33" s="279"/>
      <c r="S33" s="279"/>
      <c r="T33" s="279"/>
      <c r="U33" s="279"/>
      <c r="V33" s="279"/>
      <c r="W33" s="279"/>
    </row>
    <row r="34" spans="8:27" x14ac:dyDescent="0.3">
      <c r="M34" s="307" t="s">
        <v>783</v>
      </c>
      <c r="N34" s="277">
        <f>L25</f>
        <v>434696.00271324662</v>
      </c>
      <c r="O34" s="279" t="s">
        <v>1006</v>
      </c>
      <c r="P34" s="279"/>
      <c r="Q34" s="279"/>
      <c r="R34" s="279"/>
      <c r="S34" s="279"/>
      <c r="T34" s="279"/>
      <c r="U34" s="279"/>
      <c r="V34" s="279"/>
    </row>
    <row r="35" spans="8:27" x14ac:dyDescent="0.3">
      <c r="M35" s="307" t="s">
        <v>781</v>
      </c>
      <c r="N35" s="277">
        <f>L24</f>
        <v>841491.40118777659</v>
      </c>
      <c r="O35" s="279" t="s">
        <v>1005</v>
      </c>
      <c r="P35" s="279"/>
      <c r="Q35" s="279"/>
    </row>
    <row r="36" spans="8:27" x14ac:dyDescent="0.3">
      <c r="M36" s="307" t="s">
        <v>825</v>
      </c>
      <c r="N36" s="277">
        <f>(M23*B17*(1+B15)-L23)/(B17*(1+B15)^0.5)</f>
        <v>5000.0000364409952</v>
      </c>
      <c r="O36" s="279" t="s">
        <v>1004</v>
      </c>
      <c r="P36" s="279"/>
      <c r="Q36" s="279"/>
      <c r="R36" s="279"/>
      <c r="S36" s="279"/>
      <c r="T36" s="279"/>
    </row>
    <row r="37" spans="8:27" x14ac:dyDescent="0.3">
      <c r="M37" s="307" t="s">
        <v>826</v>
      </c>
      <c r="N37" s="306">
        <f>J23</f>
        <v>900.00282685689206</v>
      </c>
      <c r="O37" s="279" t="s">
        <v>1003</v>
      </c>
      <c r="P37" s="279"/>
      <c r="Q37" s="279"/>
      <c r="R37" s="279"/>
      <c r="S37" s="279"/>
      <c r="T37" s="279"/>
      <c r="U37" s="279"/>
      <c r="V37" s="279"/>
      <c r="W37" s="279"/>
      <c r="X37" s="279"/>
      <c r="Y37" s="279"/>
      <c r="Z37" s="279"/>
      <c r="AA37" s="279"/>
    </row>
    <row r="38" spans="8:27" x14ac:dyDescent="0.3">
      <c r="P38" s="275">
        <f>K29-M29</f>
        <v>0</v>
      </c>
      <c r="Q38" s="279" t="s">
        <v>1002</v>
      </c>
      <c r="R38" s="279"/>
      <c r="S38" s="279"/>
      <c r="T38" s="279"/>
      <c r="U38" s="279"/>
    </row>
    <row r="41" spans="8:27" x14ac:dyDescent="0.3">
      <c r="I41" s="144" t="s">
        <v>1001</v>
      </c>
    </row>
    <row r="43" spans="8:27" ht="15" thickBot="1" x14ac:dyDescent="0.35">
      <c r="Q43" s="433" t="s">
        <v>997</v>
      </c>
      <c r="R43" s="433"/>
      <c r="S43" s="305"/>
    </row>
    <row r="44" spans="8:27" ht="43.8" thickBot="1" x14ac:dyDescent="0.35">
      <c r="H44" s="301" t="s">
        <v>28</v>
      </c>
      <c r="I44" s="274" t="s">
        <v>279</v>
      </c>
      <c r="J44" s="273" t="s">
        <v>1000</v>
      </c>
      <c r="K44" s="273" t="s">
        <v>999</v>
      </c>
      <c r="L44" s="273" t="s">
        <v>995</v>
      </c>
      <c r="M44" s="273" t="s">
        <v>998</v>
      </c>
      <c r="O44" s="301" t="s">
        <v>28</v>
      </c>
      <c r="P44" s="72" t="s">
        <v>994</v>
      </c>
      <c r="Q44" s="300" t="s">
        <v>993</v>
      </c>
      <c r="R44" s="300" t="s">
        <v>992</v>
      </c>
      <c r="S44" s="304" t="s">
        <v>991</v>
      </c>
      <c r="T44" s="72" t="s">
        <v>990</v>
      </c>
      <c r="U44" s="72" t="s">
        <v>989</v>
      </c>
    </row>
    <row r="45" spans="8:27" ht="15" thickBot="1" x14ac:dyDescent="0.35">
      <c r="H45" s="264">
        <v>0</v>
      </c>
      <c r="I45" s="270" t="s">
        <v>393</v>
      </c>
      <c r="J45" s="269">
        <v>1000</v>
      </c>
      <c r="K45" s="266">
        <v>5000.0000364409952</v>
      </c>
      <c r="L45" s="271">
        <v>824071.11</v>
      </c>
      <c r="M45" s="266">
        <v>5664.3300288768651</v>
      </c>
      <c r="O45" s="264">
        <v>0</v>
      </c>
      <c r="P45" s="297">
        <f>J45/$J$45</f>
        <v>1</v>
      </c>
      <c r="Q45" s="297">
        <f>1/(1+$B$15)^O45</f>
        <v>1</v>
      </c>
      <c r="R45" s="297">
        <f>1/(1+$B$15)^(O45+0.5)</f>
        <v>0.97590007294853309</v>
      </c>
      <c r="S45" s="302">
        <v>0</v>
      </c>
      <c r="T45" s="302">
        <f>J45*(M45*(1+$B$15)-K45*(1+$B$15)^0.5)</f>
        <v>824071.10999999987</v>
      </c>
      <c r="U45" s="302">
        <f>S45*(1+$B$15)+T45</f>
        <v>824071.10999999987</v>
      </c>
    </row>
    <row r="46" spans="8:27" ht="15" thickBot="1" x14ac:dyDescent="0.35">
      <c r="H46" s="264">
        <v>1</v>
      </c>
      <c r="I46" s="270" t="s">
        <v>389</v>
      </c>
      <c r="J46" s="272">
        <v>900.00282685689206</v>
      </c>
      <c r="K46" s="268">
        <v>5830</v>
      </c>
      <c r="L46" s="266">
        <v>841491.40118777659</v>
      </c>
      <c r="M46" s="266">
        <v>5664.3300288768651</v>
      </c>
      <c r="O46" s="264">
        <v>1</v>
      </c>
      <c r="P46" s="297">
        <f>J46/$J$45</f>
        <v>0.90000282685689204</v>
      </c>
      <c r="Q46" s="297">
        <f>1/(1+$B$15)^O46</f>
        <v>0.95238095238095233</v>
      </c>
      <c r="R46" s="297">
        <f>1/(1+$B$15)^(O46+0.5)</f>
        <v>0.92942864090336497</v>
      </c>
      <c r="S46" s="303">
        <f>U45</f>
        <v>824071.10999999987</v>
      </c>
      <c r="T46" s="302">
        <f>J46*(M46*(1+$B$15)-K46*(1+$B$15)^0.5)</f>
        <v>-23783.264312223338</v>
      </c>
      <c r="U46" s="302">
        <f>S46*(1+$B$15)+T46</f>
        <v>841491.40118777659</v>
      </c>
    </row>
    <row r="47" spans="8:27" ht="15" thickBot="1" x14ac:dyDescent="0.35">
      <c r="H47" s="264">
        <v>2</v>
      </c>
      <c r="I47" s="270" t="s">
        <v>451</v>
      </c>
      <c r="J47" s="269">
        <v>700</v>
      </c>
      <c r="K47" s="268">
        <v>6430</v>
      </c>
      <c r="L47" s="266">
        <v>434696.00271324662</v>
      </c>
      <c r="M47" s="266">
        <v>5664.3300288768651</v>
      </c>
      <c r="O47" s="264">
        <v>2</v>
      </c>
      <c r="P47" s="297">
        <f>J47/$J$45</f>
        <v>0.7</v>
      </c>
      <c r="Q47" s="297">
        <f>1/(1+$B$15)^O47</f>
        <v>0.90702947845804982</v>
      </c>
      <c r="R47" s="297">
        <f>1/(1+$B$15)^(O47+0.5)</f>
        <v>0.88517013419368074</v>
      </c>
      <c r="S47" s="303">
        <f>U46</f>
        <v>841491.40118777659</v>
      </c>
      <c r="T47" s="302">
        <f>J47*(M47*(1+$B$15)-K47*(1+$B$15)^0.5)</f>
        <v>-448869.96853391948</v>
      </c>
      <c r="U47" s="302">
        <f>S47*(1+$B$15)+T47</f>
        <v>434696.00271324598</v>
      </c>
    </row>
    <row r="48" spans="8:27" ht="15" thickBot="1" x14ac:dyDescent="0.35">
      <c r="H48" s="264">
        <v>3</v>
      </c>
      <c r="I48" s="270" t="s">
        <v>450</v>
      </c>
      <c r="J48" s="269">
        <v>300</v>
      </c>
      <c r="K48" s="268">
        <v>6830</v>
      </c>
      <c r="L48" s="271">
        <v>141094.54999999999</v>
      </c>
      <c r="M48" s="266">
        <v>5664.3300288768651</v>
      </c>
      <c r="O48" s="264">
        <v>3</v>
      </c>
      <c r="P48" s="297">
        <f>J48/$J$45</f>
        <v>0.3</v>
      </c>
      <c r="Q48" s="297">
        <f>1/(1+$B$15)^O48</f>
        <v>0.86383759853147601</v>
      </c>
      <c r="R48" s="297">
        <f>1/(1+$B$15)^(O48+0.5)</f>
        <v>0.843019175422553</v>
      </c>
      <c r="S48" s="303">
        <f>U47</f>
        <v>434696.00271324598</v>
      </c>
      <c r="T48" s="302">
        <f>J48*(M48*(1+$B$15)-K48*(1+$B$15)^0.5)</f>
        <v>-315336.25284890929</v>
      </c>
      <c r="U48" s="302">
        <f>S48*(1+$B$15)+T48</f>
        <v>141094.549999999</v>
      </c>
    </row>
    <row r="49" spans="1:21" ht="15" thickBot="1" x14ac:dyDescent="0.35">
      <c r="H49" s="264">
        <v>4</v>
      </c>
      <c r="I49" s="270" t="s">
        <v>449</v>
      </c>
      <c r="J49" s="269">
        <v>100</v>
      </c>
      <c r="K49" s="268">
        <v>7250</v>
      </c>
      <c r="L49" s="267">
        <v>0</v>
      </c>
      <c r="M49" s="266">
        <v>5664.3300288768651</v>
      </c>
      <c r="O49" s="264">
        <v>4</v>
      </c>
      <c r="P49" s="297">
        <f>J49/$J$45</f>
        <v>0.1</v>
      </c>
      <c r="Q49" s="297">
        <f>1/(1+$B$15)^O49</f>
        <v>0.82270247479188197</v>
      </c>
      <c r="R49" s="297">
        <f>1/(1+$B$15)^(O49+0.5)</f>
        <v>0.80287540516433631</v>
      </c>
      <c r="S49" s="303">
        <f>U48</f>
        <v>141094.549999999</v>
      </c>
      <c r="T49" s="302">
        <f>J49*(M49*(1+$B$15)-K49*(1+$B$15)^0.5)</f>
        <v>-148149.27750000014</v>
      </c>
      <c r="U49" s="302">
        <f>S49*(1+$B$15)+T49</f>
        <v>-1.1932570487260818E-9</v>
      </c>
    </row>
    <row r="50" spans="1:21" x14ac:dyDescent="0.3">
      <c r="O50"/>
      <c r="P50" s="296"/>
      <c r="Q50"/>
      <c r="R50"/>
      <c r="S50" s="275"/>
      <c r="T50" s="275"/>
      <c r="U50" s="275"/>
    </row>
    <row r="52" spans="1:21" x14ac:dyDescent="0.3">
      <c r="K52" s="275">
        <f>SUMPRODUCT(K45:K49,R45:R49,P45:P49)</f>
        <v>16049.80952983516</v>
      </c>
      <c r="M52" s="275">
        <f>SUMPRODUCT(M45:M49,Q45:Q49,P45:P49)</f>
        <v>16049.809529835158</v>
      </c>
    </row>
    <row r="54" spans="1:21" s="265" customFormat="1" x14ac:dyDescent="0.3">
      <c r="A54" s="265" t="s">
        <v>4</v>
      </c>
    </row>
    <row r="56" spans="1:21" x14ac:dyDescent="0.3">
      <c r="M56" s="275"/>
      <c r="O56" s="275"/>
    </row>
    <row r="57" spans="1:21" ht="15" thickBot="1" x14ac:dyDescent="0.35">
      <c r="Q57" s="433" t="s">
        <v>997</v>
      </c>
      <c r="R57" s="433"/>
    </row>
    <row r="58" spans="1:21" ht="43.8" thickBot="1" x14ac:dyDescent="0.35">
      <c r="H58" s="301" t="s">
        <v>28</v>
      </c>
      <c r="I58" s="274" t="s">
        <v>279</v>
      </c>
      <c r="J58" s="273" t="s">
        <v>996</v>
      </c>
      <c r="K58" s="273" t="s">
        <v>829</v>
      </c>
      <c r="L58" s="273" t="s">
        <v>995</v>
      </c>
      <c r="M58" s="273" t="s">
        <v>827</v>
      </c>
      <c r="O58" s="301" t="s">
        <v>28</v>
      </c>
      <c r="P58" s="72" t="s">
        <v>994</v>
      </c>
      <c r="Q58" s="300" t="s">
        <v>993</v>
      </c>
      <c r="R58" s="300" t="s">
        <v>992</v>
      </c>
      <c r="S58" s="64" t="s">
        <v>991</v>
      </c>
      <c r="T58" s="64" t="s">
        <v>990</v>
      </c>
      <c r="U58" s="64" t="s">
        <v>989</v>
      </c>
    </row>
    <row r="59" spans="1:21" ht="15" thickBot="1" x14ac:dyDescent="0.35">
      <c r="H59" s="264">
        <v>0</v>
      </c>
      <c r="I59" s="270" t="s">
        <v>393</v>
      </c>
      <c r="J59" s="298">
        <f>J22</f>
        <v>1000</v>
      </c>
      <c r="K59" s="268"/>
      <c r="L59" s="271">
        <v>0</v>
      </c>
      <c r="M59" s="268"/>
      <c r="O59" s="264">
        <v>0</v>
      </c>
      <c r="P59" s="297">
        <f>J59/$J$45</f>
        <v>1</v>
      </c>
      <c r="Q59" s="297">
        <f>1/(1+$B$15)^O59</f>
        <v>1</v>
      </c>
      <c r="R59" s="297">
        <f>1/(1+$B$15)^(O59+0.5)</f>
        <v>0.97590007294853309</v>
      </c>
      <c r="S59" s="264">
        <v>0</v>
      </c>
      <c r="T59" s="275">
        <f>J59*(M59*(1+$B$15)-K59*(1+$B$15)^0.5)</f>
        <v>0</v>
      </c>
      <c r="U59" s="275">
        <f>S59*(1+$B$15)+T59</f>
        <v>0</v>
      </c>
    </row>
    <row r="60" spans="1:21" ht="15" thickBot="1" x14ac:dyDescent="0.35">
      <c r="H60" s="264">
        <v>1</v>
      </c>
      <c r="I60" s="270" t="s">
        <v>389</v>
      </c>
      <c r="J60" s="298">
        <f>J23</f>
        <v>900.00282685689206</v>
      </c>
      <c r="K60" s="268"/>
      <c r="L60" s="268">
        <v>0</v>
      </c>
      <c r="M60" s="268"/>
      <c r="O60" s="264">
        <v>1</v>
      </c>
      <c r="P60" s="297">
        <f>J60/$J$45</f>
        <v>0.90000282685689204</v>
      </c>
      <c r="Q60" s="297">
        <f>1/(1+$B$15)^O60</f>
        <v>0.95238095238095233</v>
      </c>
      <c r="R60" s="297">
        <f>1/(1+$B$15)^(O60+0.5)</f>
        <v>0.92942864090336497</v>
      </c>
      <c r="S60" s="275">
        <f>U59</f>
        <v>0</v>
      </c>
      <c r="T60" s="275">
        <f>J60*(M60*(1+$B$15)-K60*(1+$B$15)^0.5)</f>
        <v>0</v>
      </c>
      <c r="U60" s="275">
        <f>S60*(1+$B$15)+T60</f>
        <v>0</v>
      </c>
    </row>
    <row r="61" spans="1:21" ht="15" thickBot="1" x14ac:dyDescent="0.35">
      <c r="H61" s="264">
        <v>2</v>
      </c>
      <c r="I61" s="270" t="s">
        <v>451</v>
      </c>
      <c r="J61" s="298">
        <f>J24</f>
        <v>700</v>
      </c>
      <c r="K61" s="268">
        <v>6430</v>
      </c>
      <c r="L61" s="299">
        <f>U61</f>
        <v>125717.80337254741</v>
      </c>
      <c r="M61" s="268">
        <f>$Q$68</f>
        <v>6446.0820994979085</v>
      </c>
      <c r="O61" s="264">
        <v>2</v>
      </c>
      <c r="P61" s="297">
        <f>J61/$J$45</f>
        <v>0.7</v>
      </c>
      <c r="Q61" s="297">
        <f>1/(1+$B$15)^O61</f>
        <v>0.90702947845804982</v>
      </c>
      <c r="R61" s="297">
        <f>1/(1+$B$15)^(O61+0.5)</f>
        <v>0.88517013419368074</v>
      </c>
      <c r="S61" s="275">
        <f>U60</f>
        <v>0</v>
      </c>
      <c r="T61" s="275">
        <f>J61*(M61*(1+$B$15)-K61*(1+$B$15)^0.5)</f>
        <v>125717.80337254741</v>
      </c>
      <c r="U61" s="275">
        <f>S61*(1+$B$15)+T61</f>
        <v>125717.80337254741</v>
      </c>
    </row>
    <row r="62" spans="1:21" ht="15" thickBot="1" x14ac:dyDescent="0.35">
      <c r="H62" s="264">
        <v>3</v>
      </c>
      <c r="I62" s="270" t="s">
        <v>450</v>
      </c>
      <c r="J62" s="298">
        <f>J25</f>
        <v>300</v>
      </c>
      <c r="K62" s="268">
        <v>6830</v>
      </c>
      <c r="L62" s="271">
        <f>U62</f>
        <v>62919.342937894136</v>
      </c>
      <c r="M62" s="268">
        <f>$Q$68</f>
        <v>6446.0820994979085</v>
      </c>
      <c r="O62" s="264">
        <v>3</v>
      </c>
      <c r="P62" s="297">
        <f>J62/$J$45</f>
        <v>0.3</v>
      </c>
      <c r="Q62" s="297">
        <f>1/(1+$B$15)^O62</f>
        <v>0.86383759853147601</v>
      </c>
      <c r="R62" s="297">
        <f>1/(1+$B$15)^(O62+0.5)</f>
        <v>0.843019175422553</v>
      </c>
      <c r="S62" s="275">
        <f>U61</f>
        <v>125717.80337254741</v>
      </c>
      <c r="T62" s="275">
        <f>J62*(M62*(1+$B$15)-K62*(1+$B$15)^0.5)</f>
        <v>-69084.350603280647</v>
      </c>
      <c r="U62" s="275">
        <f>S62*(1+$B$15)+T62</f>
        <v>62919.342937894136</v>
      </c>
    </row>
    <row r="63" spans="1:21" ht="15" thickBot="1" x14ac:dyDescent="0.35">
      <c r="H63" s="264">
        <v>4</v>
      </c>
      <c r="I63" s="270" t="s">
        <v>449</v>
      </c>
      <c r="J63" s="298">
        <f>J26</f>
        <v>100</v>
      </c>
      <c r="K63" s="268">
        <v>7250</v>
      </c>
      <c r="L63" s="267">
        <f>U63</f>
        <v>-1.7607817426323891E-9</v>
      </c>
      <c r="M63" s="268">
        <f>$Q$68</f>
        <v>6446.0820994979085</v>
      </c>
      <c r="O63" s="264">
        <v>4</v>
      </c>
      <c r="P63" s="297">
        <f>J63/$J$45</f>
        <v>0.1</v>
      </c>
      <c r="Q63" s="297">
        <f>1/(1+$B$15)^O63</f>
        <v>0.82270247479188197</v>
      </c>
      <c r="R63" s="297">
        <f>1/(1+$B$15)^(O63+0.5)</f>
        <v>0.80287540516433631</v>
      </c>
      <c r="S63" s="275">
        <f>U62</f>
        <v>62919.342937894136</v>
      </c>
      <c r="T63" s="275">
        <f>J63*(M63*(1+$B$15)-K63*(1+$B$15)^0.5)</f>
        <v>-66065.310084790603</v>
      </c>
      <c r="U63" s="275">
        <f>S63*(1+$B$15)+T63</f>
        <v>-1.7607817426323891E-9</v>
      </c>
    </row>
    <row r="64" spans="1:21" x14ac:dyDescent="0.3">
      <c r="O64"/>
      <c r="P64" s="296"/>
      <c r="Q64"/>
      <c r="R64"/>
      <c r="S64" s="275"/>
      <c r="T64" s="275"/>
      <c r="U64" s="275"/>
    </row>
    <row r="65" spans="11:18" x14ac:dyDescent="0.3">
      <c r="Q65" s="264" t="s">
        <v>588</v>
      </c>
      <c r="R65" s="264" t="s">
        <v>590</v>
      </c>
    </row>
    <row r="66" spans="11:18" x14ac:dyDescent="0.3">
      <c r="K66" s="275">
        <f>SUMPRODUCT(K59:K63,R59:R63,P59:P63)</f>
        <v>6293.581733190711</v>
      </c>
      <c r="M66" s="275">
        <f>SUMPRODUCT(M59:M63,Q59:Q63,P59:P63)</f>
        <v>6293.581733190711</v>
      </c>
      <c r="Q66" s="264">
        <f>SUMPRODUCT(Q61:Q63,P61:P63)</f>
        <v>0.97634216195926593</v>
      </c>
      <c r="R66" s="264">
        <f>SUMPRODUCT(K61:K63,P61:P63,R61:R63)</f>
        <v>6293.5817331907119</v>
      </c>
    </row>
    <row r="68" spans="11:18" x14ac:dyDescent="0.3">
      <c r="Q68" s="275">
        <f>R66/Q66</f>
        <v>6446.0820994979085</v>
      </c>
      <c r="R68" s="264" t="s">
        <v>988</v>
      </c>
    </row>
  </sheetData>
  <mergeCells count="6">
    <mergeCell ref="Q57:R57"/>
    <mergeCell ref="C7:F7"/>
    <mergeCell ref="C19:G19"/>
    <mergeCell ref="I19:M19"/>
    <mergeCell ref="P20:Q20"/>
    <mergeCell ref="Q43:R43"/>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EA6A-9E74-4D22-950B-78B67BC7F237}">
  <sheetPr>
    <tabColor theme="5" tint="0.59999389629810485"/>
  </sheetPr>
  <dimension ref="A1:L28"/>
  <sheetViews>
    <sheetView workbookViewId="0">
      <selection activeCell="G54" sqref="G54"/>
    </sheetView>
  </sheetViews>
  <sheetFormatPr defaultRowHeight="14.4" x14ac:dyDescent="0.3"/>
  <cols>
    <col min="4" max="4" width="20.6640625" customWidth="1"/>
    <col min="5" max="5" width="13" customWidth="1"/>
    <col min="6" max="6" width="14.6640625" bestFit="1" customWidth="1"/>
    <col min="9" max="9" width="9.6640625" bestFit="1" customWidth="1"/>
    <col min="13" max="13" width="12" customWidth="1"/>
    <col min="14" max="14" width="16.6640625" customWidth="1"/>
    <col min="15" max="15" width="15.33203125" customWidth="1"/>
  </cols>
  <sheetData>
    <row r="1" spans="1:8" ht="15" thickBot="1" x14ac:dyDescent="0.35">
      <c r="A1" t="s">
        <v>849</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0"/>
      <c r="F8" s="401"/>
    </row>
    <row r="9" spans="1:8" s="40" customFormat="1" x14ac:dyDescent="0.3"/>
    <row r="10" spans="1:8" s="40" customFormat="1" x14ac:dyDescent="0.3">
      <c r="D10" s="40">
        <v>72000</v>
      </c>
      <c r="E10" s="40" t="s">
        <v>848</v>
      </c>
    </row>
    <row r="11" spans="1:8" s="40" customFormat="1" x14ac:dyDescent="0.3">
      <c r="D11" s="40">
        <v>96000</v>
      </c>
      <c r="E11" s="40" t="s">
        <v>847</v>
      </c>
    </row>
    <row r="12" spans="1:8" s="40" customFormat="1" x14ac:dyDescent="0.3"/>
    <row r="13" spans="1:8" s="40" customFormat="1" x14ac:dyDescent="0.3">
      <c r="D13" s="40">
        <v>0.04</v>
      </c>
      <c r="E13" s="40" t="s">
        <v>846</v>
      </c>
    </row>
    <row r="14" spans="1:8" s="40" customFormat="1" x14ac:dyDescent="0.3"/>
    <row r="15" spans="1:8" s="40" customFormat="1" x14ac:dyDescent="0.3">
      <c r="D15" s="40">
        <v>30000</v>
      </c>
      <c r="E15" s="40" t="s">
        <v>845</v>
      </c>
    </row>
    <row r="16" spans="1:8" s="40" customFormat="1" ht="15" thickBot="1" x14ac:dyDescent="0.35"/>
    <row r="17" spans="4:12" ht="15" thickBot="1" x14ac:dyDescent="0.35">
      <c r="D17" s="399" t="s">
        <v>10</v>
      </c>
      <c r="E17" s="400"/>
      <c r="F17" s="401"/>
      <c r="H17" s="399" t="s">
        <v>0</v>
      </c>
      <c r="I17" s="400"/>
      <c r="J17" s="400"/>
      <c r="K17" s="400"/>
      <c r="L17" s="401"/>
    </row>
    <row r="18" spans="4:12" x14ac:dyDescent="0.3">
      <c r="D18" s="39"/>
      <c r="E18" s="39"/>
      <c r="F18" s="39"/>
      <c r="G18" s="39"/>
    </row>
    <row r="20" spans="4:12" x14ac:dyDescent="0.3">
      <c r="D20" t="s">
        <v>844</v>
      </c>
      <c r="E20" t="s">
        <v>843</v>
      </c>
    </row>
    <row r="21" spans="4:12" x14ac:dyDescent="0.3">
      <c r="D21" t="s">
        <v>842</v>
      </c>
      <c r="E21" t="s">
        <v>841</v>
      </c>
      <c r="F21" t="s">
        <v>840</v>
      </c>
    </row>
    <row r="22" spans="4:12" x14ac:dyDescent="0.3">
      <c r="D22">
        <v>0</v>
      </c>
      <c r="E22">
        <v>1000</v>
      </c>
      <c r="F22">
        <v>1000</v>
      </c>
    </row>
    <row r="23" spans="4:12" x14ac:dyDescent="0.3">
      <c r="D23" s="35">
        <v>1</v>
      </c>
      <c r="E23">
        <v>950</v>
      </c>
      <c r="F23">
        <v>980</v>
      </c>
    </row>
    <row r="24" spans="4:12" x14ac:dyDescent="0.3">
      <c r="D24" s="35">
        <v>2</v>
      </c>
      <c r="E24">
        <v>900</v>
      </c>
      <c r="F24">
        <v>960</v>
      </c>
    </row>
    <row r="25" spans="4:12" x14ac:dyDescent="0.3">
      <c r="D25" s="35">
        <v>3</v>
      </c>
      <c r="E25">
        <v>850</v>
      </c>
      <c r="F25">
        <v>940</v>
      </c>
    </row>
    <row r="26" spans="4:12" x14ac:dyDescent="0.3">
      <c r="D26" s="35">
        <v>4</v>
      </c>
      <c r="E26">
        <v>800</v>
      </c>
      <c r="F26">
        <v>920</v>
      </c>
    </row>
    <row r="27" spans="4:12" x14ac:dyDescent="0.3">
      <c r="D27" s="35">
        <v>5</v>
      </c>
      <c r="E27">
        <v>750</v>
      </c>
      <c r="F27">
        <v>900</v>
      </c>
    </row>
    <row r="28" spans="4:12" x14ac:dyDescent="0.3">
      <c r="D28" s="35">
        <v>6</v>
      </c>
      <c r="E28">
        <v>700</v>
      </c>
      <c r="F28">
        <v>880</v>
      </c>
    </row>
  </sheetData>
  <mergeCells count="3">
    <mergeCell ref="H17:L17"/>
    <mergeCell ref="D17:F17"/>
    <mergeCell ref="D8:F8"/>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D9706-566F-448E-B27F-4D3EF812E784}">
  <sheetPr>
    <tabColor theme="9" tint="0.59999389629810485"/>
  </sheetPr>
  <dimension ref="A1:X33"/>
  <sheetViews>
    <sheetView workbookViewId="0">
      <selection activeCell="N47" sqref="N47"/>
    </sheetView>
  </sheetViews>
  <sheetFormatPr defaultRowHeight="14.4" x14ac:dyDescent="0.3"/>
  <cols>
    <col min="4" max="4" width="20.6640625" customWidth="1"/>
    <col min="5" max="5" width="13" customWidth="1"/>
    <col min="6" max="6" width="14.6640625" bestFit="1" customWidth="1"/>
    <col min="9" max="9" width="9.6640625" bestFit="1" customWidth="1"/>
    <col min="13" max="13" width="12" customWidth="1"/>
    <col min="14" max="14" width="16.6640625" customWidth="1"/>
    <col min="15" max="15" width="15.33203125" customWidth="1"/>
  </cols>
  <sheetData>
    <row r="1" spans="1:8" ht="15" thickBot="1" x14ac:dyDescent="0.35">
      <c r="A1" t="s">
        <v>849</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0"/>
      <c r="F8" s="401"/>
    </row>
    <row r="9" spans="1:8" s="40" customFormat="1" x14ac:dyDescent="0.3"/>
    <row r="10" spans="1:8" s="40" customFormat="1" x14ac:dyDescent="0.3">
      <c r="D10" s="40">
        <v>72000</v>
      </c>
      <c r="E10" s="40" t="s">
        <v>848</v>
      </c>
    </row>
    <row r="11" spans="1:8" s="40" customFormat="1" x14ac:dyDescent="0.3">
      <c r="D11" s="40">
        <v>96000</v>
      </c>
      <c r="E11" s="40" t="s">
        <v>847</v>
      </c>
    </row>
    <row r="12" spans="1:8" s="40" customFormat="1" x14ac:dyDescent="0.3"/>
    <row r="13" spans="1:8" s="40" customFormat="1" x14ac:dyDescent="0.3">
      <c r="D13" s="40">
        <v>0.04</v>
      </c>
      <c r="E13" s="40" t="s">
        <v>846</v>
      </c>
    </row>
    <row r="14" spans="1:8" s="40" customFormat="1" x14ac:dyDescent="0.3"/>
    <row r="15" spans="1:8" s="40" customFormat="1" x14ac:dyDescent="0.3">
      <c r="D15" s="40">
        <v>30000</v>
      </c>
      <c r="E15" s="40" t="s">
        <v>845</v>
      </c>
    </row>
    <row r="16" spans="1:8" s="40" customFormat="1" ht="15" thickBot="1" x14ac:dyDescent="0.35"/>
    <row r="17" spans="4:24" ht="15" thickBot="1" x14ac:dyDescent="0.35">
      <c r="D17" s="399" t="s">
        <v>10</v>
      </c>
      <c r="E17" s="400"/>
      <c r="F17" s="401"/>
      <c r="H17" s="399" t="s">
        <v>0</v>
      </c>
      <c r="I17" s="400"/>
      <c r="J17" s="400"/>
      <c r="K17" s="400"/>
      <c r="L17" s="401"/>
    </row>
    <row r="18" spans="4:24" x14ac:dyDescent="0.3">
      <c r="D18" s="39"/>
      <c r="E18" s="39"/>
      <c r="F18" s="39"/>
      <c r="G18" s="39"/>
    </row>
    <row r="20" spans="4:24" x14ac:dyDescent="0.3">
      <c r="D20" t="s">
        <v>844</v>
      </c>
      <c r="E20" t="s">
        <v>843</v>
      </c>
      <c r="H20" t="s">
        <v>844</v>
      </c>
      <c r="I20" t="s">
        <v>994</v>
      </c>
      <c r="J20" t="s">
        <v>994</v>
      </c>
      <c r="K20" t="s">
        <v>444</v>
      </c>
      <c r="L20" t="s">
        <v>444</v>
      </c>
      <c r="N20" t="s">
        <v>517</v>
      </c>
    </row>
    <row r="21" spans="4:24" x14ac:dyDescent="0.3">
      <c r="D21" t="s">
        <v>842</v>
      </c>
      <c r="E21" t="s">
        <v>841</v>
      </c>
      <c r="F21" t="s">
        <v>840</v>
      </c>
      <c r="H21" t="s">
        <v>842</v>
      </c>
      <c r="I21" t="s">
        <v>841</v>
      </c>
      <c r="J21" t="s">
        <v>840</v>
      </c>
      <c r="K21" t="s">
        <v>841</v>
      </c>
      <c r="L21" t="s">
        <v>840</v>
      </c>
      <c r="M21" t="s">
        <v>25</v>
      </c>
      <c r="N21" t="s">
        <v>841</v>
      </c>
      <c r="O21" t="s">
        <v>840</v>
      </c>
    </row>
    <row r="22" spans="4:24" x14ac:dyDescent="0.3">
      <c r="D22">
        <v>0</v>
      </c>
      <c r="E22">
        <v>1000</v>
      </c>
      <c r="F22">
        <v>1000</v>
      </c>
      <c r="H22" s="35">
        <v>3</v>
      </c>
      <c r="I22" s="135">
        <f t="shared" ref="I22:I28" si="0">E25/$E$25</f>
        <v>1</v>
      </c>
      <c r="J22" s="135">
        <f t="shared" ref="J22:J28" si="1">F25/$F$25</f>
        <v>1</v>
      </c>
      <c r="K22">
        <f>$D$10/12</f>
        <v>6000</v>
      </c>
      <c r="L22">
        <f>$D$11/12</f>
        <v>8000</v>
      </c>
      <c r="M22">
        <v>1</v>
      </c>
      <c r="N22" s="309">
        <f>SUMPRODUCT(I22:$I$24,K22:$K$24,M22:$M$24)</f>
        <v>16888.256143625644</v>
      </c>
      <c r="O22" s="309">
        <f>SUMPRODUCT($J22:J$24,$L22:L$24,$M22:M$24)</f>
        <v>23413.906950737164</v>
      </c>
      <c r="P22" s="8" t="s">
        <v>1013</v>
      </c>
      <c r="Q22" s="8"/>
      <c r="R22" s="8"/>
      <c r="S22" s="8"/>
      <c r="T22" s="8"/>
      <c r="U22" s="8"/>
      <c r="V22" s="8"/>
      <c r="W22" s="8"/>
      <c r="X22" s="8"/>
    </row>
    <row r="23" spans="4:24" x14ac:dyDescent="0.3">
      <c r="D23" s="35">
        <v>1</v>
      </c>
      <c r="E23">
        <v>950</v>
      </c>
      <c r="F23">
        <v>980</v>
      </c>
      <c r="H23" s="35">
        <v>4</v>
      </c>
      <c r="I23" s="135">
        <f t="shared" si="0"/>
        <v>0.94117647058823528</v>
      </c>
      <c r="J23" s="135">
        <f t="shared" si="1"/>
        <v>0.97872340425531912</v>
      </c>
      <c r="K23">
        <f>$D$10/12</f>
        <v>6000</v>
      </c>
      <c r="L23">
        <f>$D$11/12</f>
        <v>8000</v>
      </c>
      <c r="M23">
        <f>1/(1+$D$13)^(D23/12)</f>
        <v>0.99673694261856227</v>
      </c>
      <c r="N23" s="309">
        <f>SUMPRODUCT(I23:$I$24,K23:$K$24,M23:$M$24)</f>
        <v>10888.256143625642</v>
      </c>
      <c r="O23" s="309">
        <f>SUMPRODUCT($J23:J$24,$L23:L$24,$M23:M$24)</f>
        <v>15413.906950737164</v>
      </c>
    </row>
    <row r="24" spans="4:24" x14ac:dyDescent="0.3">
      <c r="D24" s="35">
        <v>2</v>
      </c>
      <c r="E24">
        <v>900</v>
      </c>
      <c r="F24">
        <v>960</v>
      </c>
      <c r="H24" s="35">
        <v>5</v>
      </c>
      <c r="I24" s="135">
        <f t="shared" si="0"/>
        <v>0.88235294117647056</v>
      </c>
      <c r="J24" s="135">
        <f t="shared" si="1"/>
        <v>0.95744680851063835</v>
      </c>
      <c r="K24">
        <f>$D$10/12</f>
        <v>6000</v>
      </c>
      <c r="L24">
        <f>$D$11/12</f>
        <v>8000</v>
      </c>
      <c r="M24">
        <f>1/(1+$D$13)^(D24/12)</f>
        <v>0.99348453278059923</v>
      </c>
      <c r="N24" s="309">
        <f>SUMPRODUCT(I24:$I$24,K24:$K$24,M24:$M$24)</f>
        <v>5259.6239970737606</v>
      </c>
      <c r="O24" s="309">
        <f>SUMPRODUCT($J24:J$24,$L24:L$24,$M24:M$24)</f>
        <v>7609.6687617237394</v>
      </c>
    </row>
    <row r="25" spans="4:24" x14ac:dyDescent="0.3">
      <c r="D25" s="35">
        <v>3</v>
      </c>
      <c r="E25">
        <v>850</v>
      </c>
      <c r="F25">
        <v>940</v>
      </c>
      <c r="H25" s="35">
        <v>6</v>
      </c>
      <c r="I25" s="135">
        <f t="shared" si="0"/>
        <v>0.82352941176470584</v>
      </c>
      <c r="J25" s="135">
        <f t="shared" si="1"/>
        <v>0.93617021276595747</v>
      </c>
      <c r="N25" s="309"/>
      <c r="O25" s="309"/>
    </row>
    <row r="26" spans="4:24" x14ac:dyDescent="0.3">
      <c r="D26" s="35">
        <v>4</v>
      </c>
      <c r="E26">
        <v>800</v>
      </c>
      <c r="F26">
        <v>920</v>
      </c>
      <c r="H26" s="35"/>
      <c r="I26" s="135">
        <f t="shared" si="0"/>
        <v>0</v>
      </c>
      <c r="J26" s="135">
        <f t="shared" si="1"/>
        <v>0</v>
      </c>
      <c r="N26" s="309"/>
      <c r="O26" s="309"/>
    </row>
    <row r="27" spans="4:24" x14ac:dyDescent="0.3">
      <c r="D27" s="35">
        <v>5</v>
      </c>
      <c r="E27">
        <v>750</v>
      </c>
      <c r="F27">
        <v>900</v>
      </c>
      <c r="H27" s="35"/>
      <c r="I27" s="135">
        <f t="shared" si="0"/>
        <v>0</v>
      </c>
      <c r="J27" s="135">
        <f t="shared" si="1"/>
        <v>0</v>
      </c>
      <c r="N27" s="309"/>
      <c r="O27" s="309"/>
    </row>
    <row r="28" spans="4:24" x14ac:dyDescent="0.3">
      <c r="D28" s="35">
        <v>6</v>
      </c>
      <c r="E28">
        <v>700</v>
      </c>
      <c r="F28">
        <v>880</v>
      </c>
      <c r="H28" s="35"/>
      <c r="I28" s="135">
        <f t="shared" si="0"/>
        <v>0</v>
      </c>
      <c r="J28" s="135">
        <f t="shared" si="1"/>
        <v>0</v>
      </c>
    </row>
    <row r="31" spans="4:24" x14ac:dyDescent="0.3">
      <c r="O31" s="308">
        <f>SUM(N22:O22)</f>
        <v>40302.163094362812</v>
      </c>
      <c r="P31" t="s">
        <v>1012</v>
      </c>
    </row>
    <row r="33" spans="15:16" x14ac:dyDescent="0.3">
      <c r="O33" s="11">
        <f>D15/O31</f>
        <v>0.74437691916829629</v>
      </c>
      <c r="P33" t="s">
        <v>1011</v>
      </c>
    </row>
  </sheetData>
  <mergeCells count="3">
    <mergeCell ref="H17:L17"/>
    <mergeCell ref="D17:F17"/>
    <mergeCell ref="D8:F8"/>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E878-D6E4-4F1F-BE95-1E2DE48C50B1}">
  <sheetPr>
    <tabColor theme="5" tint="0.59999389629810485"/>
  </sheetPr>
  <dimension ref="A1:M31"/>
  <sheetViews>
    <sheetView workbookViewId="0">
      <selection activeCell="G54" sqref="G54"/>
    </sheetView>
  </sheetViews>
  <sheetFormatPr defaultRowHeight="14.4" x14ac:dyDescent="0.3"/>
  <sheetData>
    <row r="1" spans="1:8" ht="15" thickBot="1" x14ac:dyDescent="0.35">
      <c r="A1" t="s">
        <v>857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B12" s="1">
        <v>0.05</v>
      </c>
      <c r="C12" t="s">
        <v>856</v>
      </c>
    </row>
    <row r="13" spans="1:8" x14ac:dyDescent="0.3">
      <c r="C13" t="s">
        <v>855</v>
      </c>
    </row>
    <row r="14" spans="1:8" x14ac:dyDescent="0.3">
      <c r="B14" s="1">
        <v>0</v>
      </c>
      <c r="C14" t="s">
        <v>854</v>
      </c>
    </row>
    <row r="15" spans="1:8" x14ac:dyDescent="0.3">
      <c r="C15" t="s">
        <v>853</v>
      </c>
    </row>
    <row r="21" spans="3:13" ht="15" thickBot="1" x14ac:dyDescent="0.35"/>
    <row r="22" spans="3:13" ht="15" thickBot="1" x14ac:dyDescent="0.35">
      <c r="C22" s="399" t="s">
        <v>10</v>
      </c>
      <c r="D22" s="400"/>
      <c r="E22" s="400"/>
      <c r="F22" s="400"/>
      <c r="G22" s="401"/>
      <c r="I22" s="399" t="s">
        <v>0</v>
      </c>
      <c r="J22" s="400"/>
      <c r="K22" s="400"/>
      <c r="L22" s="400"/>
      <c r="M22" s="401"/>
    </row>
    <row r="23" spans="3:13" x14ac:dyDescent="0.3">
      <c r="C23" s="39"/>
      <c r="D23" s="39"/>
      <c r="E23" s="39"/>
      <c r="F23" s="39"/>
      <c r="G23" s="39"/>
      <c r="I23" s="39"/>
      <c r="J23" s="39"/>
      <c r="K23" s="39"/>
      <c r="L23" s="39"/>
      <c r="M23" s="39"/>
    </row>
    <row r="25" spans="3:13" x14ac:dyDescent="0.3">
      <c r="C25" t="s">
        <v>852</v>
      </c>
      <c r="D25" t="s">
        <v>851</v>
      </c>
      <c r="E25" t="s">
        <v>850</v>
      </c>
    </row>
    <row r="26" spans="3:13" x14ac:dyDescent="0.3">
      <c r="C26">
        <v>0</v>
      </c>
      <c r="D26">
        <v>0</v>
      </c>
      <c r="E26">
        <v>0</v>
      </c>
    </row>
    <row r="27" spans="3:13" x14ac:dyDescent="0.3">
      <c r="C27">
        <v>1</v>
      </c>
      <c r="D27">
        <v>1.1299999999999999E-2</v>
      </c>
      <c r="E27">
        <v>120.74</v>
      </c>
    </row>
    <row r="28" spans="3:13" x14ac:dyDescent="0.3">
      <c r="C28">
        <v>2</v>
      </c>
      <c r="D28">
        <v>1.35E-2</v>
      </c>
      <c r="E28">
        <v>146.38</v>
      </c>
    </row>
    <row r="29" spans="3:13" x14ac:dyDescent="0.3">
      <c r="C29">
        <v>3</v>
      </c>
      <c r="D29">
        <v>1.6199999999999999E-2</v>
      </c>
      <c r="E29">
        <v>168.19</v>
      </c>
    </row>
    <row r="30" spans="3:13" x14ac:dyDescent="0.3">
      <c r="C30">
        <v>4</v>
      </c>
      <c r="D30">
        <v>1.9400000000000001E-2</v>
      </c>
      <c r="E30">
        <v>190.02</v>
      </c>
    </row>
    <row r="31" spans="3:13" x14ac:dyDescent="0.3">
      <c r="C31">
        <v>5</v>
      </c>
      <c r="D31">
        <v>2.2100000000000002E-2</v>
      </c>
      <c r="E31">
        <v>209.85</v>
      </c>
    </row>
  </sheetData>
  <mergeCells count="3">
    <mergeCell ref="C10:F10"/>
    <mergeCell ref="C22:G22"/>
    <mergeCell ref="I22:M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C2D5-BBCF-4E86-B557-15CC8B328951}">
  <sheetPr>
    <tabColor theme="5" tint="0.39997558519241921"/>
  </sheetPr>
  <dimension ref="A1:M61"/>
  <sheetViews>
    <sheetView workbookViewId="0">
      <selection activeCell="U46" sqref="U46"/>
    </sheetView>
  </sheetViews>
  <sheetFormatPr defaultRowHeight="14.4" x14ac:dyDescent="0.3"/>
  <cols>
    <col min="3" max="3" width="20" customWidth="1"/>
    <col min="4" max="4" width="14.109375" customWidth="1"/>
    <col min="5" max="6" width="18.33203125" customWidth="1"/>
    <col min="9" max="9" width="21.6640625" customWidth="1"/>
    <col min="10" max="10" width="23.109375" customWidth="1"/>
    <col min="11" max="11" width="14" customWidth="1"/>
    <col min="12" max="12" width="18.6640625" customWidth="1"/>
    <col min="13" max="13" width="19.88671875" customWidth="1"/>
    <col min="14" max="14" width="14.88671875" customWidth="1"/>
  </cols>
  <sheetData>
    <row r="1" spans="1:13" ht="15" thickBot="1" x14ac:dyDescent="0.35">
      <c r="A1" t="s">
        <v>62</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t="s">
        <v>61</v>
      </c>
    </row>
    <row r="13" spans="1:13" x14ac:dyDescent="0.3">
      <c r="C13">
        <v>0.5</v>
      </c>
      <c r="D13" t="s">
        <v>60</v>
      </c>
    </row>
    <row r="14" spans="1:13" x14ac:dyDescent="0.3">
      <c r="C14">
        <v>0.5</v>
      </c>
      <c r="D14" t="s">
        <v>59</v>
      </c>
    </row>
    <row r="15" spans="1:13" ht="15" thickBot="1" x14ac:dyDescent="0.35"/>
    <row r="16" spans="1:13" ht="15" thickBot="1" x14ac:dyDescent="0.35">
      <c r="C16" s="399" t="s">
        <v>10</v>
      </c>
      <c r="D16" s="400"/>
      <c r="E16" s="400"/>
      <c r="F16" s="400"/>
      <c r="G16" s="401"/>
      <c r="I16" s="399" t="s">
        <v>0</v>
      </c>
      <c r="J16" s="400"/>
      <c r="K16" s="400"/>
      <c r="L16" s="400"/>
      <c r="M16" s="401"/>
    </row>
    <row r="17" spans="2:4" s="2" customFormat="1" x14ac:dyDescent="0.3">
      <c r="B17" s="2" t="s">
        <v>58</v>
      </c>
    </row>
    <row r="19" spans="2:4" x14ac:dyDescent="0.3">
      <c r="C19" t="s">
        <v>57</v>
      </c>
    </row>
    <row r="20" spans="2:4" x14ac:dyDescent="0.3">
      <c r="C20" t="s">
        <v>54</v>
      </c>
      <c r="D20" s="3">
        <v>0.13</v>
      </c>
    </row>
    <row r="21" spans="2:4" x14ac:dyDescent="0.3">
      <c r="C21" t="s">
        <v>53</v>
      </c>
      <c r="D21" s="3">
        <v>0.02</v>
      </c>
    </row>
    <row r="22" spans="2:4" x14ac:dyDescent="0.3">
      <c r="C22" t="s">
        <v>56</v>
      </c>
      <c r="D22" s="3">
        <v>0.05</v>
      </c>
    </row>
    <row r="25" spans="2:4" x14ac:dyDescent="0.3">
      <c r="C25" t="s">
        <v>55</v>
      </c>
    </row>
    <row r="26" spans="2:4" x14ac:dyDescent="0.3">
      <c r="C26" t="s">
        <v>40</v>
      </c>
      <c r="D26" s="18">
        <v>10000</v>
      </c>
    </row>
    <row r="27" spans="2:4" x14ac:dyDescent="0.3">
      <c r="C27" t="s">
        <v>39</v>
      </c>
      <c r="D27" s="18">
        <v>7500</v>
      </c>
    </row>
    <row r="28" spans="2:4" x14ac:dyDescent="0.3">
      <c r="C28" t="s">
        <v>54</v>
      </c>
      <c r="D28" s="18">
        <v>1100</v>
      </c>
    </row>
    <row r="29" spans="2:4" x14ac:dyDescent="0.3">
      <c r="C29" t="s">
        <v>53</v>
      </c>
      <c r="D29" s="18">
        <v>200</v>
      </c>
    </row>
    <row r="31" spans="2:4" s="2" customFormat="1" x14ac:dyDescent="0.3">
      <c r="B31" s="2" t="s">
        <v>52</v>
      </c>
    </row>
    <row r="34" spans="3:6" x14ac:dyDescent="0.3">
      <c r="C34" s="30"/>
      <c r="D34" s="403" t="s">
        <v>51</v>
      </c>
      <c r="E34" s="404" t="s">
        <v>50</v>
      </c>
      <c r="F34" s="404"/>
    </row>
    <row r="35" spans="3:6" x14ac:dyDescent="0.3">
      <c r="C35" s="30" t="s">
        <v>49</v>
      </c>
      <c r="D35" s="405"/>
      <c r="E35" s="28" t="s">
        <v>40</v>
      </c>
      <c r="F35" s="28" t="s">
        <v>39</v>
      </c>
    </row>
    <row r="36" spans="3:6" x14ac:dyDescent="0.3">
      <c r="C36" s="23" t="s">
        <v>48</v>
      </c>
      <c r="D36" s="33">
        <v>1.1000000000000001</v>
      </c>
      <c r="E36" s="25">
        <v>2000</v>
      </c>
      <c r="F36" s="24">
        <v>1500</v>
      </c>
    </row>
    <row r="37" spans="3:6" x14ac:dyDescent="0.3">
      <c r="C37" s="23" t="s">
        <v>47</v>
      </c>
      <c r="D37" s="32">
        <v>0.9</v>
      </c>
      <c r="E37" s="18">
        <v>2000</v>
      </c>
      <c r="F37" s="22">
        <v>1600</v>
      </c>
    </row>
    <row r="38" spans="3:6" x14ac:dyDescent="0.3">
      <c r="C38" s="23" t="s">
        <v>46</v>
      </c>
      <c r="D38" s="32">
        <v>0.9</v>
      </c>
      <c r="E38" s="18">
        <v>2000</v>
      </c>
      <c r="F38" s="22">
        <v>1500</v>
      </c>
    </row>
    <row r="39" spans="3:6" x14ac:dyDescent="0.3">
      <c r="C39" s="23" t="s">
        <v>45</v>
      </c>
      <c r="D39" s="32">
        <v>1.1000000000000001</v>
      </c>
      <c r="E39" s="18">
        <v>2000</v>
      </c>
      <c r="F39" s="22">
        <v>1400</v>
      </c>
    </row>
    <row r="40" spans="3:6" x14ac:dyDescent="0.3">
      <c r="C40" s="21" t="s">
        <v>44</v>
      </c>
      <c r="D40" s="31">
        <v>1</v>
      </c>
      <c r="E40" s="20">
        <v>2000</v>
      </c>
      <c r="F40" s="19">
        <v>1500</v>
      </c>
    </row>
    <row r="42" spans="3:6" x14ac:dyDescent="0.3">
      <c r="C42" s="30"/>
      <c r="D42" s="403" t="s">
        <v>43</v>
      </c>
      <c r="E42" s="404" t="s">
        <v>42</v>
      </c>
      <c r="F42" s="404"/>
    </row>
    <row r="43" spans="3:6" x14ac:dyDescent="0.3">
      <c r="C43" s="30" t="s">
        <v>41</v>
      </c>
      <c r="D43" s="403"/>
      <c r="E43" s="28" t="s">
        <v>40</v>
      </c>
      <c r="F43" s="28" t="s">
        <v>39</v>
      </c>
    </row>
    <row r="44" spans="3:6" x14ac:dyDescent="0.3">
      <c r="C44" s="27" t="s">
        <v>38</v>
      </c>
      <c r="D44" s="26">
        <v>0.5</v>
      </c>
      <c r="E44" s="25">
        <v>1500</v>
      </c>
      <c r="F44" s="24">
        <v>1125</v>
      </c>
    </row>
    <row r="45" spans="3:6" x14ac:dyDescent="0.3">
      <c r="C45" s="23" t="s">
        <v>37</v>
      </c>
      <c r="D45">
        <v>0.75</v>
      </c>
      <c r="E45" s="18">
        <v>1500</v>
      </c>
      <c r="F45" s="22">
        <v>1125</v>
      </c>
    </row>
    <row r="46" spans="3:6" x14ac:dyDescent="0.3">
      <c r="C46" s="23" t="s">
        <v>36</v>
      </c>
      <c r="D46">
        <v>1.5</v>
      </c>
      <c r="E46" s="18">
        <v>1500</v>
      </c>
      <c r="F46" s="22">
        <v>1125</v>
      </c>
    </row>
    <row r="47" spans="3:6" x14ac:dyDescent="0.3">
      <c r="C47" s="23" t="s">
        <v>35</v>
      </c>
      <c r="D47">
        <v>0.5</v>
      </c>
      <c r="E47" s="18">
        <v>2000</v>
      </c>
      <c r="F47" s="22">
        <v>1500</v>
      </c>
    </row>
    <row r="48" spans="3:6" x14ac:dyDescent="0.3">
      <c r="C48" s="23" t="s">
        <v>34</v>
      </c>
      <c r="D48">
        <v>1.75</v>
      </c>
      <c r="E48" s="18">
        <v>2000</v>
      </c>
      <c r="F48" s="22">
        <v>1500</v>
      </c>
    </row>
    <row r="49" spans="3:6" x14ac:dyDescent="0.3">
      <c r="C49" s="21" t="s">
        <v>33</v>
      </c>
      <c r="D49" s="2">
        <v>1.25</v>
      </c>
      <c r="E49" s="20">
        <v>1500</v>
      </c>
      <c r="F49" s="19">
        <v>1125</v>
      </c>
    </row>
    <row r="57" spans="3:6" x14ac:dyDescent="0.3">
      <c r="D57" s="18"/>
      <c r="E57" s="18"/>
    </row>
    <row r="58" spans="3:6" x14ac:dyDescent="0.3">
      <c r="D58" s="18"/>
      <c r="E58" s="18"/>
    </row>
    <row r="59" spans="3:6" x14ac:dyDescent="0.3">
      <c r="D59" s="18"/>
      <c r="E59" s="18"/>
    </row>
    <row r="60" spans="3:6" x14ac:dyDescent="0.3">
      <c r="D60" s="18"/>
      <c r="E60" s="18"/>
    </row>
    <row r="61" spans="3:6" x14ac:dyDescent="0.3">
      <c r="D61" s="18"/>
      <c r="E61" s="18"/>
    </row>
  </sheetData>
  <mergeCells count="7">
    <mergeCell ref="D42:D43"/>
    <mergeCell ref="E42:F42"/>
    <mergeCell ref="C10:F10"/>
    <mergeCell ref="C16:G16"/>
    <mergeCell ref="I16:M16"/>
    <mergeCell ref="D34:D35"/>
    <mergeCell ref="E34:F34"/>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B326-7AEC-4FC6-B8AE-CA144673CEBD}">
  <sheetPr>
    <tabColor theme="9" tint="0.59999389629810485"/>
  </sheetPr>
  <dimension ref="A1:Q60"/>
  <sheetViews>
    <sheetView workbookViewId="0">
      <selection activeCell="N47" sqref="N47"/>
    </sheetView>
  </sheetViews>
  <sheetFormatPr defaultRowHeight="14.4" x14ac:dyDescent="0.3"/>
  <sheetData>
    <row r="1" spans="1:8" ht="15" thickBot="1" x14ac:dyDescent="0.35">
      <c r="A1" t="s">
        <v>857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B12" s="1">
        <v>0.05</v>
      </c>
      <c r="C12" t="s">
        <v>856</v>
      </c>
    </row>
    <row r="13" spans="1:8" x14ac:dyDescent="0.3">
      <c r="C13" t="s">
        <v>855</v>
      </c>
    </row>
    <row r="14" spans="1:8" x14ac:dyDescent="0.3">
      <c r="B14" s="1">
        <v>0</v>
      </c>
      <c r="C14" t="s">
        <v>854</v>
      </c>
    </row>
    <row r="15" spans="1:8" x14ac:dyDescent="0.3">
      <c r="C15" t="s">
        <v>853</v>
      </c>
    </row>
    <row r="21" spans="3:14" ht="15" thickBot="1" x14ac:dyDescent="0.35"/>
    <row r="22" spans="3:14" ht="15" thickBot="1" x14ac:dyDescent="0.35">
      <c r="C22" s="399" t="s">
        <v>10</v>
      </c>
      <c r="D22" s="400"/>
      <c r="E22" s="400"/>
      <c r="F22" s="400"/>
      <c r="G22" s="401"/>
      <c r="I22" s="399" t="s">
        <v>0</v>
      </c>
      <c r="J22" s="400"/>
      <c r="K22" s="400"/>
      <c r="L22" s="400"/>
      <c r="M22" s="401"/>
    </row>
    <row r="23" spans="3:14" x14ac:dyDescent="0.3">
      <c r="C23" s="39"/>
      <c r="D23" s="39"/>
      <c r="E23" s="39"/>
      <c r="F23" s="39"/>
      <c r="G23" s="39"/>
      <c r="I23" s="39"/>
      <c r="J23" s="39"/>
      <c r="K23" s="39"/>
      <c r="L23" s="39"/>
      <c r="M23" s="39"/>
    </row>
    <row r="25" spans="3:14" x14ac:dyDescent="0.3">
      <c r="C25" t="s">
        <v>852</v>
      </c>
      <c r="D25" t="s">
        <v>851</v>
      </c>
      <c r="E25" t="s">
        <v>850</v>
      </c>
      <c r="J25" s="192" t="s">
        <v>279</v>
      </c>
      <c r="K25" s="192" t="s">
        <v>1023</v>
      </c>
      <c r="L25" s="192"/>
      <c r="M25" s="192" t="s">
        <v>547</v>
      </c>
      <c r="N25" s="192" t="s">
        <v>39</v>
      </c>
    </row>
    <row r="26" spans="3:14" x14ac:dyDescent="0.3">
      <c r="C26">
        <v>0</v>
      </c>
      <c r="D26">
        <v>0</v>
      </c>
      <c r="E26">
        <v>0</v>
      </c>
      <c r="J26">
        <v>0</v>
      </c>
      <c r="K26">
        <v>1</v>
      </c>
      <c r="M26" s="36">
        <v>1</v>
      </c>
    </row>
    <row r="27" spans="3:14" x14ac:dyDescent="0.3">
      <c r="C27">
        <v>1</v>
      </c>
      <c r="D27">
        <v>1.1299999999999999E-2</v>
      </c>
      <c r="E27">
        <v>120.74</v>
      </c>
      <c r="J27">
        <f>C27</f>
        <v>1</v>
      </c>
      <c r="K27">
        <f>(1-D27)*(1-$B$12)</f>
        <v>0.93926500000000002</v>
      </c>
      <c r="M27" s="36">
        <v>1</v>
      </c>
      <c r="N27" s="36">
        <f>E27</f>
        <v>120.74</v>
      </c>
    </row>
    <row r="28" spans="3:14" x14ac:dyDescent="0.3">
      <c r="C28">
        <v>2</v>
      </c>
      <c r="D28">
        <v>1.35E-2</v>
      </c>
      <c r="E28">
        <v>146.38</v>
      </c>
      <c r="J28">
        <f>C28</f>
        <v>2</v>
      </c>
      <c r="K28">
        <f>K27*(1-D28)*(1-$B$12)</f>
        <v>0.88025567637500002</v>
      </c>
      <c r="M28" s="36">
        <v>1</v>
      </c>
      <c r="N28" s="36">
        <f>E28</f>
        <v>146.38</v>
      </c>
    </row>
    <row r="29" spans="3:14" x14ac:dyDescent="0.3">
      <c r="C29">
        <v>3</v>
      </c>
      <c r="D29">
        <v>1.6199999999999999E-2</v>
      </c>
      <c r="E29">
        <v>168.19</v>
      </c>
      <c r="J29">
        <f>C29</f>
        <v>3</v>
      </c>
      <c r="K29">
        <f>K28*(1-D29)*(1-$B$12)</f>
        <v>0.82269575769683878</v>
      </c>
      <c r="M29" s="36">
        <v>1</v>
      </c>
      <c r="N29" s="36">
        <f>E29</f>
        <v>168.19</v>
      </c>
    </row>
    <row r="30" spans="3:14" x14ac:dyDescent="0.3">
      <c r="C30">
        <v>4</v>
      </c>
      <c r="D30">
        <v>1.9400000000000001E-2</v>
      </c>
      <c r="E30">
        <v>190.02</v>
      </c>
      <c r="J30">
        <f>C30</f>
        <v>4</v>
      </c>
      <c r="K30">
        <f>K29*(1-D30)*(1-$B$12)</f>
        <v>0.76639868699764413</v>
      </c>
      <c r="M30" s="36">
        <v>1</v>
      </c>
      <c r="N30" s="36">
        <f>E30</f>
        <v>190.02</v>
      </c>
    </row>
    <row r="31" spans="3:14" x14ac:dyDescent="0.3">
      <c r="C31">
        <v>5</v>
      </c>
      <c r="D31">
        <v>2.2100000000000002E-2</v>
      </c>
      <c r="E31">
        <v>209.85</v>
      </c>
      <c r="J31" s="2">
        <f>C31</f>
        <v>5</v>
      </c>
      <c r="K31" s="2">
        <f>K30*(1-D31)*(1-$B$12)</f>
        <v>0.71198821221424635</v>
      </c>
      <c r="L31" s="2"/>
      <c r="M31" s="2"/>
      <c r="N31" s="126">
        <f>E31</f>
        <v>209.85</v>
      </c>
    </row>
    <row r="33" spans="9:17" x14ac:dyDescent="0.3">
      <c r="L33" t="s">
        <v>1022</v>
      </c>
      <c r="M33" s="36">
        <f>SUMPRODUCT(M26:M30,K26:K30)</f>
        <v>4.4086151210694835</v>
      </c>
      <c r="N33" s="36">
        <f>SUMPRODUCT(N27:N31,K27:K31)</f>
        <v>675.66968633125578</v>
      </c>
    </row>
    <row r="35" spans="9:17" x14ac:dyDescent="0.3">
      <c r="L35" t="s">
        <v>988</v>
      </c>
      <c r="M35" s="36">
        <f>N33/M33</f>
        <v>153.26120964883535</v>
      </c>
    </row>
    <row r="38" spans="9:17" x14ac:dyDescent="0.3">
      <c r="I38" s="310" t="s">
        <v>1021</v>
      </c>
      <c r="J38" s="310"/>
      <c r="K38" s="310"/>
      <c r="L38" s="310"/>
      <c r="M38" s="310"/>
      <c r="N38" s="310"/>
      <c r="O38" s="310"/>
      <c r="P38" s="310"/>
      <c r="Q38" s="310"/>
    </row>
    <row r="40" spans="9:17" x14ac:dyDescent="0.3">
      <c r="I40" s="144" t="s">
        <v>1020</v>
      </c>
      <c r="N40" s="144" t="s">
        <v>1018</v>
      </c>
    </row>
    <row r="41" spans="9:17" x14ac:dyDescent="0.3">
      <c r="L41" s="93" t="s">
        <v>517</v>
      </c>
      <c r="Q41" s="93" t="s">
        <v>517</v>
      </c>
    </row>
    <row r="42" spans="9:17" x14ac:dyDescent="0.3">
      <c r="I42" s="192" t="s">
        <v>1017</v>
      </c>
      <c r="J42" s="192" t="s">
        <v>1016</v>
      </c>
      <c r="K42" s="192" t="s">
        <v>1015</v>
      </c>
      <c r="L42" s="192" t="s">
        <v>1014</v>
      </c>
      <c r="N42" s="192" t="s">
        <v>1017</v>
      </c>
      <c r="O42" s="192" t="s">
        <v>1016</v>
      </c>
      <c r="P42" s="192" t="s">
        <v>1015</v>
      </c>
      <c r="Q42" s="192" t="s">
        <v>1014</v>
      </c>
    </row>
    <row r="43" spans="9:17" x14ac:dyDescent="0.3">
      <c r="I43">
        <v>0</v>
      </c>
      <c r="N43">
        <v>0</v>
      </c>
      <c r="O43" s="36">
        <f>$M$35</f>
        <v>153.26120964883535</v>
      </c>
      <c r="P43" s="36">
        <v>0</v>
      </c>
      <c r="Q43" s="36">
        <f>(O43-P43)*(K26/$K$29)</f>
        <v>186.29147921935888</v>
      </c>
    </row>
    <row r="44" spans="9:17" x14ac:dyDescent="0.3">
      <c r="I44">
        <v>1</v>
      </c>
      <c r="J44" s="36">
        <f>$M$35</f>
        <v>153.26120964883535</v>
      </c>
      <c r="K44" s="36">
        <v>0</v>
      </c>
      <c r="L44" s="36">
        <f>(K44-J44)</f>
        <v>-153.26120964883535</v>
      </c>
      <c r="N44">
        <v>1</v>
      </c>
      <c r="O44" s="36">
        <f>$M$35</f>
        <v>153.26120964883535</v>
      </c>
      <c r="P44" s="36">
        <f>N27</f>
        <v>120.74</v>
      </c>
      <c r="Q44" s="36">
        <f>(O44-P44)*(K27/$K$29)</f>
        <v>37.129198364080388</v>
      </c>
    </row>
    <row r="45" spans="9:17" x14ac:dyDescent="0.3">
      <c r="I45">
        <v>2</v>
      </c>
      <c r="J45" s="36">
        <f>$M$35</f>
        <v>153.26120964883535</v>
      </c>
      <c r="K45" s="36">
        <f>N28</f>
        <v>146.38</v>
      </c>
      <c r="L45" s="36">
        <f>(K45-J45)*(K28/$K$27)</f>
        <v>-6.448897652647271</v>
      </c>
      <c r="N45">
        <v>2</v>
      </c>
      <c r="O45" s="36">
        <f>$M$35</f>
        <v>153.26120964883535</v>
      </c>
      <c r="P45" s="36">
        <f>N28</f>
        <v>146.38</v>
      </c>
      <c r="Q45" s="36">
        <f>(O45-P45)*(K28/$K$29)</f>
        <v>7.3626535654822352</v>
      </c>
    </row>
    <row r="46" spans="9:17" x14ac:dyDescent="0.3">
      <c r="I46">
        <v>3</v>
      </c>
      <c r="J46" s="36">
        <f>$M$35</f>
        <v>153.26120964883535</v>
      </c>
      <c r="K46" s="36">
        <f>N29</f>
        <v>168.19</v>
      </c>
      <c r="L46" s="36">
        <f>(K46-J46)*(K29/$K$27)</f>
        <v>13.076024859276837</v>
      </c>
      <c r="N46">
        <v>3</v>
      </c>
      <c r="O46" s="36">
        <v>0</v>
      </c>
      <c r="P46" s="36">
        <f>N29</f>
        <v>168.19</v>
      </c>
      <c r="Q46" s="36">
        <f>O46-P46</f>
        <v>-168.19</v>
      </c>
    </row>
    <row r="47" spans="9:17" x14ac:dyDescent="0.3">
      <c r="I47">
        <v>4</v>
      </c>
      <c r="J47" s="36">
        <f>$M$35</f>
        <v>153.26120964883535</v>
      </c>
      <c r="K47" s="36">
        <f>N30</f>
        <v>190.02</v>
      </c>
      <c r="L47" s="36">
        <f>(K47-J47)*(K30/$K$27)</f>
        <v>29.993546720844773</v>
      </c>
      <c r="N47">
        <v>4</v>
      </c>
      <c r="P47" s="36"/>
      <c r="Q47" s="36"/>
    </row>
    <row r="48" spans="9:17" x14ac:dyDescent="0.3">
      <c r="I48">
        <v>5</v>
      </c>
      <c r="J48">
        <v>0</v>
      </c>
      <c r="K48" s="36">
        <f>N31</f>
        <v>209.85</v>
      </c>
      <c r="L48" s="36">
        <f>(K48-J48)*(K31/$K$27)</f>
        <v>159.07196194168802</v>
      </c>
      <c r="N48">
        <v>5</v>
      </c>
      <c r="Q48" s="36"/>
    </row>
    <row r="49" spans="9:17" x14ac:dyDescent="0.3">
      <c r="L49" s="4">
        <f>SUM(L44:L48)</f>
        <v>42.431426220326998</v>
      </c>
      <c r="Q49" s="4">
        <f>SUM(Q43:Q46)</f>
        <v>62.593331148921521</v>
      </c>
    </row>
    <row r="51" spans="9:17" x14ac:dyDescent="0.3">
      <c r="I51" s="144" t="s">
        <v>1019</v>
      </c>
      <c r="N51" s="144" t="s">
        <v>1018</v>
      </c>
    </row>
    <row r="52" spans="9:17" x14ac:dyDescent="0.3">
      <c r="L52" s="93" t="s">
        <v>517</v>
      </c>
      <c r="Q52" s="93" t="s">
        <v>517</v>
      </c>
    </row>
    <row r="53" spans="9:17" x14ac:dyDescent="0.3">
      <c r="I53" s="192" t="s">
        <v>1017</v>
      </c>
      <c r="J53" s="192" t="s">
        <v>1016</v>
      </c>
      <c r="K53" s="192" t="s">
        <v>1015</v>
      </c>
      <c r="L53" s="192" t="s">
        <v>1014</v>
      </c>
      <c r="N53" s="192" t="s">
        <v>1017</v>
      </c>
      <c r="O53" s="192" t="s">
        <v>1016</v>
      </c>
      <c r="P53" s="192" t="s">
        <v>1015</v>
      </c>
      <c r="Q53" s="192" t="s">
        <v>1014</v>
      </c>
    </row>
    <row r="54" spans="9:17" x14ac:dyDescent="0.3">
      <c r="I54">
        <v>0</v>
      </c>
      <c r="N54">
        <v>0</v>
      </c>
      <c r="O54" s="36">
        <f>$M$35</f>
        <v>153.26120964883535</v>
      </c>
      <c r="P54" s="36">
        <v>0</v>
      </c>
      <c r="Q54" s="36">
        <f>(O54-P54)*(K26/$K$30)</f>
        <v>199.97582491853416</v>
      </c>
    </row>
    <row r="55" spans="9:17" x14ac:dyDescent="0.3">
      <c r="I55">
        <v>1</v>
      </c>
      <c r="J55" s="36"/>
      <c r="K55" s="36"/>
      <c r="L55" s="36"/>
      <c r="N55">
        <v>1</v>
      </c>
      <c r="O55" s="36">
        <f>$M$35</f>
        <v>153.26120964883535</v>
      </c>
      <c r="P55" s="36">
        <f>N27</f>
        <v>120.74</v>
      </c>
      <c r="Q55" s="36">
        <f>(O55-P55)*(K27/$K$30)</f>
        <v>39.856584437111955</v>
      </c>
    </row>
    <row r="56" spans="9:17" x14ac:dyDescent="0.3">
      <c r="I56">
        <v>2</v>
      </c>
      <c r="J56" s="36">
        <f>$M$35</f>
        <v>153.26120964883535</v>
      </c>
      <c r="K56" s="36">
        <v>0</v>
      </c>
      <c r="L56" s="36">
        <f>(K56-J56)*(K28/$K$28)</f>
        <v>-153.26120964883535</v>
      </c>
      <c r="N56">
        <v>2</v>
      </c>
      <c r="O56" s="36">
        <f>$M$35</f>
        <v>153.26120964883535</v>
      </c>
      <c r="P56" s="36">
        <f>N28</f>
        <v>146.38</v>
      </c>
      <c r="Q56" s="36">
        <f>(O56-P56)*(K28/$K$30)</f>
        <v>7.9034893410932465</v>
      </c>
    </row>
    <row r="57" spans="9:17" x14ac:dyDescent="0.3">
      <c r="I57">
        <v>3</v>
      </c>
      <c r="J57" s="36">
        <f>$M$35</f>
        <v>153.26120964883535</v>
      </c>
      <c r="K57" s="36">
        <f>N29</f>
        <v>168.19</v>
      </c>
      <c r="L57" s="36">
        <f>(K57-J57)*(K29/$K$28)</f>
        <v>13.952596750101995</v>
      </c>
      <c r="N57">
        <v>3</v>
      </c>
      <c r="O57" s="36">
        <f>$M$35</f>
        <v>153.26120964883535</v>
      </c>
      <c r="P57" s="36">
        <f>N29</f>
        <v>168.19</v>
      </c>
      <c r="Q57" s="36">
        <f>(O57-P57)*(K29/$K$30)</f>
        <v>-16.025409095574837</v>
      </c>
    </row>
    <row r="58" spans="9:17" x14ac:dyDescent="0.3">
      <c r="I58">
        <v>4</v>
      </c>
      <c r="J58" s="36">
        <f>$M$35</f>
        <v>153.26120964883535</v>
      </c>
      <c r="K58" s="36">
        <f>N30</f>
        <v>190.02</v>
      </c>
      <c r="L58" s="36">
        <f>(K58-J58)*(K30/$K$28)</f>
        <v>32.004211295483529</v>
      </c>
      <c r="N58">
        <v>4</v>
      </c>
      <c r="O58">
        <v>0</v>
      </c>
      <c r="P58" s="36">
        <f>N30</f>
        <v>190.02</v>
      </c>
      <c r="Q58" s="36">
        <f>(O58-P58)*(K30/$K$30)</f>
        <v>-190.02</v>
      </c>
    </row>
    <row r="59" spans="9:17" x14ac:dyDescent="0.3">
      <c r="I59">
        <v>5</v>
      </c>
      <c r="J59">
        <v>0</v>
      </c>
      <c r="K59" s="36">
        <f>N31</f>
        <v>209.85</v>
      </c>
      <c r="L59" s="36">
        <f>(K59-J59)*(K31/$K$28)</f>
        <v>169.73560107950809</v>
      </c>
      <c r="N59">
        <v>5</v>
      </c>
      <c r="Q59" s="36"/>
    </row>
    <row r="60" spans="9:17" x14ac:dyDescent="0.3">
      <c r="L60" s="4">
        <f>SUM(L55:L59)</f>
        <v>62.431199476258271</v>
      </c>
      <c r="Q60" s="4">
        <f>SUM(Q54:Q58)</f>
        <v>41.690489601164501</v>
      </c>
    </row>
  </sheetData>
  <mergeCells count="3">
    <mergeCell ref="C10:F10"/>
    <mergeCell ref="C22:G22"/>
    <mergeCell ref="I22:M22"/>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B466-F1A6-46AF-9AA7-B1217FF48A69}">
  <sheetPr>
    <tabColor theme="5" tint="0.59999389629810485"/>
  </sheetPr>
  <dimension ref="A1:Q184"/>
  <sheetViews>
    <sheetView zoomScaleNormal="100" workbookViewId="0">
      <selection activeCell="G54" sqref="G54"/>
    </sheetView>
  </sheetViews>
  <sheetFormatPr defaultRowHeight="14.4" x14ac:dyDescent="0.3"/>
  <cols>
    <col min="16" max="16" width="11.44140625" bestFit="1" customWidth="1"/>
  </cols>
  <sheetData>
    <row r="1" spans="1:12" ht="15" thickBot="1" x14ac:dyDescent="0.35">
      <c r="A1" t="s">
        <v>878</v>
      </c>
      <c r="K1" s="10" t="s">
        <v>16</v>
      </c>
      <c r="L1" s="9"/>
    </row>
    <row r="2" spans="1:12" x14ac:dyDescent="0.3">
      <c r="K2" s="8" t="s">
        <v>15</v>
      </c>
      <c r="L2" s="8"/>
    </row>
    <row r="3" spans="1:12" ht="15" thickBot="1" x14ac:dyDescent="0.35">
      <c r="K3" s="7" t="s">
        <v>14</v>
      </c>
      <c r="L3" s="7"/>
    </row>
    <row r="4" spans="1:12" ht="15.6" thickTop="1" thickBot="1" x14ac:dyDescent="0.35">
      <c r="K4" s="6" t="s">
        <v>13</v>
      </c>
      <c r="L4" s="6"/>
    </row>
    <row r="5" spans="1:12" ht="15" thickTop="1" x14ac:dyDescent="0.3">
      <c r="K5" s="5" t="s">
        <v>12</v>
      </c>
      <c r="L5" s="4"/>
    </row>
    <row r="9" spans="1:12" ht="15" thickBot="1" x14ac:dyDescent="0.35"/>
    <row r="10" spans="1:12" ht="15" thickBot="1" x14ac:dyDescent="0.35">
      <c r="C10" s="399" t="s">
        <v>3</v>
      </c>
      <c r="D10" s="400"/>
      <c r="E10" s="400"/>
      <c r="F10" s="400"/>
      <c r="G10" s="400"/>
      <c r="H10" s="400"/>
      <c r="I10" s="400"/>
      <c r="J10" s="401"/>
    </row>
    <row r="12" spans="1:12" x14ac:dyDescent="0.3">
      <c r="D12" t="s">
        <v>877</v>
      </c>
    </row>
    <row r="13" spans="1:12" x14ac:dyDescent="0.3">
      <c r="D13" t="s">
        <v>876</v>
      </c>
    </row>
    <row r="14" spans="1:12" x14ac:dyDescent="0.3">
      <c r="C14" s="61">
        <v>1</v>
      </c>
      <c r="D14" t="s">
        <v>875</v>
      </c>
    </row>
    <row r="21" spans="2:17" ht="15" thickBot="1" x14ac:dyDescent="0.35"/>
    <row r="22" spans="2:17" ht="15" thickBot="1" x14ac:dyDescent="0.35">
      <c r="C22" s="399" t="s">
        <v>10</v>
      </c>
      <c r="D22" s="400"/>
      <c r="E22" s="400"/>
      <c r="F22" s="400"/>
      <c r="G22" s="400"/>
      <c r="H22" s="400"/>
      <c r="I22" s="400"/>
      <c r="J22" s="400"/>
      <c r="K22" s="401"/>
      <c r="M22" s="399" t="s">
        <v>0</v>
      </c>
      <c r="N22" s="400"/>
      <c r="O22" s="400"/>
      <c r="P22" s="400"/>
      <c r="Q22" s="401"/>
    </row>
    <row r="24" spans="2:17" x14ac:dyDescent="0.3">
      <c r="C24" t="s">
        <v>132</v>
      </c>
      <c r="D24" t="s">
        <v>7</v>
      </c>
      <c r="E24" t="s">
        <v>155</v>
      </c>
      <c r="F24" t="s">
        <v>874</v>
      </c>
      <c r="G24" t="s">
        <v>508</v>
      </c>
      <c r="H24" t="s">
        <v>873</v>
      </c>
      <c r="I24" t="s">
        <v>812</v>
      </c>
      <c r="J24" t="s">
        <v>872</v>
      </c>
      <c r="K24" t="s">
        <v>871</v>
      </c>
    </row>
    <row r="25" spans="2:17" x14ac:dyDescent="0.3">
      <c r="C25" t="s">
        <v>131</v>
      </c>
      <c r="D25">
        <v>35</v>
      </c>
      <c r="E25" t="s">
        <v>868</v>
      </c>
      <c r="F25" s="283">
        <v>40330</v>
      </c>
      <c r="G25" t="s">
        <v>869</v>
      </c>
      <c r="H25">
        <v>60</v>
      </c>
      <c r="I25" t="s">
        <v>794</v>
      </c>
      <c r="J25" s="282">
        <v>5</v>
      </c>
      <c r="K25" s="281">
        <v>4000</v>
      </c>
    </row>
    <row r="26" spans="2:17" x14ac:dyDescent="0.3">
      <c r="C26" t="s">
        <v>130</v>
      </c>
      <c r="D26">
        <v>28</v>
      </c>
      <c r="E26" t="s">
        <v>870</v>
      </c>
      <c r="F26" s="283">
        <v>42005</v>
      </c>
      <c r="G26" t="s">
        <v>869</v>
      </c>
      <c r="H26">
        <v>4</v>
      </c>
      <c r="I26" t="s">
        <v>804</v>
      </c>
      <c r="J26" s="282">
        <v>3.5</v>
      </c>
      <c r="K26" s="281">
        <v>2500</v>
      </c>
    </row>
    <row r="27" spans="2:17" x14ac:dyDescent="0.3">
      <c r="C27" t="s">
        <v>131</v>
      </c>
      <c r="D27">
        <v>37</v>
      </c>
      <c r="E27" t="s">
        <v>868</v>
      </c>
      <c r="F27" s="283">
        <v>40909</v>
      </c>
      <c r="G27" t="s">
        <v>869</v>
      </c>
      <c r="H27">
        <v>48</v>
      </c>
      <c r="I27" t="s">
        <v>804</v>
      </c>
      <c r="J27" s="282">
        <v>6</v>
      </c>
      <c r="K27" s="281">
        <v>3000</v>
      </c>
    </row>
    <row r="28" spans="2:17" x14ac:dyDescent="0.3">
      <c r="C28" t="s">
        <v>130</v>
      </c>
      <c r="D28">
        <v>44</v>
      </c>
      <c r="E28" t="s">
        <v>868</v>
      </c>
      <c r="F28" s="283">
        <v>43831</v>
      </c>
      <c r="G28" t="s">
        <v>867</v>
      </c>
      <c r="H28" t="s">
        <v>242</v>
      </c>
      <c r="I28" t="s">
        <v>866</v>
      </c>
      <c r="J28" s="282">
        <v>4.5</v>
      </c>
      <c r="K28" s="281">
        <v>1500</v>
      </c>
    </row>
    <row r="32" spans="2:17" x14ac:dyDescent="0.3">
      <c r="B32" t="s">
        <v>865</v>
      </c>
    </row>
    <row r="33" spans="2:11" x14ac:dyDescent="0.3">
      <c r="B33" t="s">
        <v>863</v>
      </c>
      <c r="H33" t="s">
        <v>864</v>
      </c>
    </row>
    <row r="34" spans="2:11" x14ac:dyDescent="0.3">
      <c r="B34" t="s">
        <v>861</v>
      </c>
      <c r="H34" t="s">
        <v>863</v>
      </c>
    </row>
    <row r="35" spans="2:11" x14ac:dyDescent="0.3">
      <c r="B35" t="s">
        <v>862</v>
      </c>
      <c r="H35" t="s">
        <v>861</v>
      </c>
    </row>
    <row r="36" spans="2:11" x14ac:dyDescent="0.3">
      <c r="B36" t="s">
        <v>859</v>
      </c>
      <c r="H36" t="s">
        <v>860</v>
      </c>
    </row>
    <row r="37" spans="2:11" x14ac:dyDescent="0.3">
      <c r="H37" t="s">
        <v>859</v>
      </c>
    </row>
    <row r="39" spans="2:11" x14ac:dyDescent="0.3">
      <c r="B39" t="s">
        <v>7</v>
      </c>
      <c r="C39" t="s">
        <v>858</v>
      </c>
      <c r="D39" t="s">
        <v>131</v>
      </c>
      <c r="E39" t="s">
        <v>130</v>
      </c>
    </row>
    <row r="40" spans="2:11" x14ac:dyDescent="0.3">
      <c r="B40">
        <v>27</v>
      </c>
      <c r="C40">
        <v>4</v>
      </c>
      <c r="D40">
        <v>16.47</v>
      </c>
      <c r="E40">
        <v>18.600000000000001</v>
      </c>
      <c r="H40" t="s">
        <v>7</v>
      </c>
      <c r="I40" t="s">
        <v>858</v>
      </c>
      <c r="J40" t="s">
        <v>131</v>
      </c>
      <c r="K40" t="s">
        <v>130</v>
      </c>
    </row>
    <row r="41" spans="2:11" x14ac:dyDescent="0.3">
      <c r="B41">
        <v>27</v>
      </c>
      <c r="C41">
        <v>9</v>
      </c>
      <c r="D41">
        <v>28.13</v>
      </c>
      <c r="E41">
        <v>30.93</v>
      </c>
      <c r="H41">
        <v>27</v>
      </c>
      <c r="I41">
        <v>7</v>
      </c>
      <c r="J41">
        <v>27.2</v>
      </c>
      <c r="K41">
        <v>30.2</v>
      </c>
    </row>
    <row r="42" spans="2:11" x14ac:dyDescent="0.3">
      <c r="B42">
        <v>27</v>
      </c>
      <c r="C42">
        <v>18</v>
      </c>
      <c r="D42">
        <v>40.4</v>
      </c>
      <c r="E42">
        <v>43.27</v>
      </c>
      <c r="H42">
        <v>27</v>
      </c>
      <c r="I42">
        <v>9</v>
      </c>
      <c r="J42">
        <v>30.53</v>
      </c>
      <c r="K42">
        <v>33.47</v>
      </c>
    </row>
    <row r="43" spans="2:11" x14ac:dyDescent="0.3">
      <c r="B43">
        <v>27</v>
      </c>
      <c r="C43">
        <v>27</v>
      </c>
      <c r="D43">
        <v>46.73</v>
      </c>
      <c r="E43">
        <v>49.67</v>
      </c>
      <c r="H43">
        <v>27</v>
      </c>
      <c r="I43">
        <v>18</v>
      </c>
      <c r="J43">
        <v>41.53</v>
      </c>
      <c r="K43">
        <v>44.53</v>
      </c>
    </row>
    <row r="44" spans="2:11" x14ac:dyDescent="0.3">
      <c r="B44">
        <v>27</v>
      </c>
      <c r="C44">
        <v>48</v>
      </c>
      <c r="D44">
        <v>67.069999999999993</v>
      </c>
      <c r="E44">
        <v>70.13</v>
      </c>
      <c r="H44">
        <v>27</v>
      </c>
      <c r="I44">
        <v>27</v>
      </c>
      <c r="J44">
        <v>49.73</v>
      </c>
      <c r="K44">
        <v>52.8</v>
      </c>
    </row>
    <row r="45" spans="2:11" x14ac:dyDescent="0.3">
      <c r="B45">
        <v>27</v>
      </c>
      <c r="C45">
        <v>60</v>
      </c>
      <c r="D45">
        <v>70.73</v>
      </c>
      <c r="E45">
        <v>73.47</v>
      </c>
      <c r="H45">
        <v>27</v>
      </c>
      <c r="I45">
        <v>48</v>
      </c>
      <c r="J45">
        <v>67.069999999999993</v>
      </c>
      <c r="K45">
        <v>70.13</v>
      </c>
    </row>
    <row r="46" spans="2:11" x14ac:dyDescent="0.3">
      <c r="B46">
        <v>28</v>
      </c>
      <c r="C46">
        <v>4</v>
      </c>
      <c r="D46">
        <v>17.260000000000002</v>
      </c>
      <c r="E46">
        <v>19.420000000000002</v>
      </c>
      <c r="H46">
        <v>27</v>
      </c>
      <c r="I46">
        <v>60</v>
      </c>
      <c r="J46">
        <v>70.73</v>
      </c>
      <c r="K46">
        <v>73.47</v>
      </c>
    </row>
    <row r="47" spans="2:11" x14ac:dyDescent="0.3">
      <c r="B47">
        <v>28</v>
      </c>
      <c r="C47">
        <v>9</v>
      </c>
      <c r="D47">
        <v>29.11</v>
      </c>
      <c r="E47">
        <v>31.9</v>
      </c>
      <c r="H47">
        <v>28</v>
      </c>
      <c r="I47">
        <v>4</v>
      </c>
      <c r="J47">
        <v>28.15</v>
      </c>
      <c r="K47">
        <v>31.13</v>
      </c>
    </row>
    <row r="48" spans="2:11" x14ac:dyDescent="0.3">
      <c r="B48">
        <v>28</v>
      </c>
      <c r="C48">
        <v>18</v>
      </c>
      <c r="D48">
        <v>41.3</v>
      </c>
      <c r="E48">
        <v>44.28</v>
      </c>
      <c r="H48">
        <v>28</v>
      </c>
      <c r="I48">
        <v>9</v>
      </c>
      <c r="J48">
        <v>31.5</v>
      </c>
      <c r="K48">
        <v>34.43</v>
      </c>
    </row>
    <row r="49" spans="2:11" x14ac:dyDescent="0.3">
      <c r="B49">
        <v>28</v>
      </c>
      <c r="C49">
        <v>27</v>
      </c>
      <c r="D49">
        <v>47.53</v>
      </c>
      <c r="E49">
        <v>50.63</v>
      </c>
      <c r="H49">
        <v>28</v>
      </c>
      <c r="I49">
        <v>18</v>
      </c>
      <c r="J49">
        <v>42.42</v>
      </c>
      <c r="K49">
        <v>45.53</v>
      </c>
    </row>
    <row r="50" spans="2:11" x14ac:dyDescent="0.3">
      <c r="B50">
        <v>28</v>
      </c>
      <c r="C50">
        <v>48</v>
      </c>
      <c r="D50">
        <v>67.27</v>
      </c>
      <c r="E50">
        <v>70.62</v>
      </c>
      <c r="H50">
        <v>28</v>
      </c>
      <c r="I50">
        <v>27</v>
      </c>
      <c r="J50">
        <v>50.47</v>
      </c>
      <c r="K50">
        <v>53.71</v>
      </c>
    </row>
    <row r="51" spans="2:11" x14ac:dyDescent="0.3">
      <c r="B51">
        <v>28</v>
      </c>
      <c r="C51">
        <v>60</v>
      </c>
      <c r="D51">
        <v>70.75</v>
      </c>
      <c r="E51">
        <v>73.790000000000006</v>
      </c>
      <c r="H51">
        <v>28</v>
      </c>
      <c r="I51">
        <v>48</v>
      </c>
      <c r="J51">
        <v>67.27</v>
      </c>
      <c r="K51">
        <v>70.62</v>
      </c>
    </row>
    <row r="52" spans="2:11" x14ac:dyDescent="0.3">
      <c r="B52">
        <v>29</v>
      </c>
      <c r="C52">
        <v>4</v>
      </c>
      <c r="D52">
        <v>18.05</v>
      </c>
      <c r="E52">
        <v>20.239999999999998</v>
      </c>
      <c r="H52">
        <v>28</v>
      </c>
      <c r="I52">
        <v>60</v>
      </c>
      <c r="J52">
        <v>70.75</v>
      </c>
      <c r="K52">
        <v>73.790000000000006</v>
      </c>
    </row>
    <row r="53" spans="2:11" x14ac:dyDescent="0.3">
      <c r="B53">
        <v>29</v>
      </c>
      <c r="C53">
        <v>9</v>
      </c>
      <c r="D53">
        <v>30.09</v>
      </c>
      <c r="E53">
        <v>32.869999999999997</v>
      </c>
      <c r="H53">
        <v>29</v>
      </c>
      <c r="I53">
        <v>4</v>
      </c>
      <c r="J53">
        <v>29.11</v>
      </c>
      <c r="K53">
        <v>32.07</v>
      </c>
    </row>
    <row r="54" spans="2:11" x14ac:dyDescent="0.3">
      <c r="B54">
        <v>29</v>
      </c>
      <c r="C54">
        <v>18</v>
      </c>
      <c r="D54">
        <v>42.2</v>
      </c>
      <c r="E54">
        <v>45.29</v>
      </c>
      <c r="H54">
        <v>29</v>
      </c>
      <c r="I54">
        <v>9</v>
      </c>
      <c r="J54">
        <v>32.47</v>
      </c>
      <c r="K54">
        <v>35.4</v>
      </c>
    </row>
    <row r="55" spans="2:11" x14ac:dyDescent="0.3">
      <c r="B55">
        <v>29</v>
      </c>
      <c r="C55">
        <v>27</v>
      </c>
      <c r="D55">
        <v>48.32</v>
      </c>
      <c r="E55">
        <v>51.59</v>
      </c>
      <c r="H55">
        <v>29</v>
      </c>
      <c r="I55">
        <v>18</v>
      </c>
      <c r="J55">
        <v>43.31</v>
      </c>
      <c r="K55">
        <v>46.52</v>
      </c>
    </row>
    <row r="56" spans="2:11" x14ac:dyDescent="0.3">
      <c r="B56">
        <v>29</v>
      </c>
      <c r="C56">
        <v>48</v>
      </c>
      <c r="D56">
        <v>67.48</v>
      </c>
      <c r="E56">
        <v>71.11</v>
      </c>
      <c r="H56">
        <v>29</v>
      </c>
      <c r="I56">
        <v>27</v>
      </c>
      <c r="J56">
        <v>51.2</v>
      </c>
      <c r="K56">
        <v>54.63</v>
      </c>
    </row>
    <row r="57" spans="2:11" x14ac:dyDescent="0.3">
      <c r="B57">
        <v>29</v>
      </c>
      <c r="C57">
        <v>60</v>
      </c>
      <c r="D57">
        <v>70.760000000000005</v>
      </c>
      <c r="E57">
        <v>74.11</v>
      </c>
      <c r="H57">
        <v>29</v>
      </c>
      <c r="I57">
        <v>48</v>
      </c>
      <c r="J57">
        <v>67.48</v>
      </c>
      <c r="K57">
        <v>71.11</v>
      </c>
    </row>
    <row r="58" spans="2:11" x14ac:dyDescent="0.3">
      <c r="B58">
        <v>30</v>
      </c>
      <c r="C58">
        <v>4</v>
      </c>
      <c r="D58">
        <v>18.850000000000001</v>
      </c>
      <c r="E58">
        <v>21.06</v>
      </c>
      <c r="H58">
        <v>29</v>
      </c>
      <c r="I58">
        <v>60</v>
      </c>
      <c r="J58">
        <v>70.760000000000005</v>
      </c>
      <c r="K58">
        <v>74.11</v>
      </c>
    </row>
    <row r="59" spans="2:11" x14ac:dyDescent="0.3">
      <c r="B59">
        <v>30</v>
      </c>
      <c r="C59">
        <v>9</v>
      </c>
      <c r="D59">
        <v>31.07</v>
      </c>
      <c r="E59">
        <v>33.83</v>
      </c>
      <c r="H59">
        <v>30</v>
      </c>
      <c r="I59">
        <v>7</v>
      </c>
      <c r="J59">
        <v>30.06</v>
      </c>
      <c r="K59">
        <v>33</v>
      </c>
    </row>
    <row r="60" spans="2:11" x14ac:dyDescent="0.3">
      <c r="B60">
        <v>30</v>
      </c>
      <c r="C60">
        <v>18</v>
      </c>
      <c r="D60">
        <v>43.1</v>
      </c>
      <c r="E60">
        <v>46.31</v>
      </c>
      <c r="H60">
        <v>30</v>
      </c>
      <c r="I60">
        <v>9</v>
      </c>
      <c r="J60">
        <v>33.43</v>
      </c>
      <c r="K60">
        <v>36.369999999999997</v>
      </c>
    </row>
    <row r="61" spans="2:11" x14ac:dyDescent="0.3">
      <c r="B61">
        <v>30</v>
      </c>
      <c r="C61">
        <v>27</v>
      </c>
      <c r="D61">
        <v>49.11</v>
      </c>
      <c r="E61">
        <v>52.55</v>
      </c>
      <c r="H61">
        <v>30</v>
      </c>
      <c r="I61">
        <v>18</v>
      </c>
      <c r="J61">
        <v>44.19</v>
      </c>
      <c r="K61">
        <v>47.51</v>
      </c>
    </row>
    <row r="62" spans="2:11" x14ac:dyDescent="0.3">
      <c r="B62">
        <v>30</v>
      </c>
      <c r="C62">
        <v>48</v>
      </c>
      <c r="D62">
        <v>67.69</v>
      </c>
      <c r="E62">
        <v>71.59</v>
      </c>
      <c r="H62">
        <v>30</v>
      </c>
      <c r="I62">
        <v>27</v>
      </c>
      <c r="J62">
        <v>51.93</v>
      </c>
      <c r="K62">
        <v>55.54</v>
      </c>
    </row>
    <row r="63" spans="2:11" x14ac:dyDescent="0.3">
      <c r="B63">
        <v>30</v>
      </c>
      <c r="C63">
        <v>60</v>
      </c>
      <c r="D63">
        <v>70.77</v>
      </c>
      <c r="E63">
        <v>74.430000000000007</v>
      </c>
      <c r="H63">
        <v>30</v>
      </c>
      <c r="I63">
        <v>48</v>
      </c>
      <c r="J63">
        <v>67.69</v>
      </c>
      <c r="K63">
        <v>71.59</v>
      </c>
    </row>
    <row r="64" spans="2:11" x14ac:dyDescent="0.3">
      <c r="B64">
        <v>31</v>
      </c>
      <c r="C64">
        <v>4</v>
      </c>
      <c r="D64">
        <v>19.64</v>
      </c>
      <c r="E64">
        <v>21.88</v>
      </c>
      <c r="H64">
        <v>30</v>
      </c>
      <c r="I64">
        <v>60</v>
      </c>
      <c r="J64">
        <v>70.77</v>
      </c>
      <c r="K64">
        <v>74.430000000000007</v>
      </c>
    </row>
    <row r="65" spans="2:11" x14ac:dyDescent="0.3">
      <c r="B65">
        <v>31</v>
      </c>
      <c r="C65">
        <v>9</v>
      </c>
      <c r="D65">
        <v>32.049999999999997</v>
      </c>
      <c r="E65">
        <v>34.799999999999997</v>
      </c>
      <c r="H65">
        <v>31</v>
      </c>
      <c r="I65">
        <v>4</v>
      </c>
      <c r="J65">
        <v>31.01</v>
      </c>
      <c r="K65">
        <v>33.93</v>
      </c>
    </row>
    <row r="66" spans="2:11" x14ac:dyDescent="0.3">
      <c r="B66">
        <v>31</v>
      </c>
      <c r="C66">
        <v>18</v>
      </c>
      <c r="D66">
        <v>44</v>
      </c>
      <c r="E66">
        <v>47.32</v>
      </c>
      <c r="H66">
        <v>31</v>
      </c>
      <c r="I66">
        <v>9</v>
      </c>
      <c r="J66">
        <v>34.4</v>
      </c>
      <c r="K66">
        <v>37.33</v>
      </c>
    </row>
    <row r="67" spans="2:11" x14ac:dyDescent="0.3">
      <c r="B67">
        <v>31</v>
      </c>
      <c r="C67">
        <v>27</v>
      </c>
      <c r="D67">
        <v>49.91</v>
      </c>
      <c r="E67">
        <v>53.51</v>
      </c>
      <c r="H67">
        <v>31</v>
      </c>
      <c r="I67">
        <v>18</v>
      </c>
      <c r="J67">
        <v>45.08</v>
      </c>
      <c r="K67">
        <v>48.51</v>
      </c>
    </row>
    <row r="68" spans="2:11" x14ac:dyDescent="0.3">
      <c r="B68">
        <v>31</v>
      </c>
      <c r="C68">
        <v>48</v>
      </c>
      <c r="D68">
        <v>67.89</v>
      </c>
      <c r="E68">
        <v>72.08</v>
      </c>
      <c r="H68">
        <v>31</v>
      </c>
      <c r="I68">
        <v>27</v>
      </c>
      <c r="J68">
        <v>52.67</v>
      </c>
      <c r="K68">
        <v>56.45</v>
      </c>
    </row>
    <row r="69" spans="2:11" x14ac:dyDescent="0.3">
      <c r="B69">
        <v>31</v>
      </c>
      <c r="C69">
        <v>60</v>
      </c>
      <c r="D69">
        <v>70.790000000000006</v>
      </c>
      <c r="E69">
        <v>74.75</v>
      </c>
      <c r="H69">
        <v>31</v>
      </c>
      <c r="I69">
        <v>48</v>
      </c>
      <c r="J69">
        <v>67.89</v>
      </c>
      <c r="K69">
        <v>72.08</v>
      </c>
    </row>
    <row r="70" spans="2:11" x14ac:dyDescent="0.3">
      <c r="B70">
        <v>32</v>
      </c>
      <c r="C70">
        <v>4</v>
      </c>
      <c r="D70">
        <v>20.43</v>
      </c>
      <c r="E70">
        <v>22.7</v>
      </c>
      <c r="H70">
        <v>31</v>
      </c>
      <c r="I70">
        <v>60</v>
      </c>
      <c r="J70">
        <v>70.790000000000006</v>
      </c>
      <c r="K70">
        <v>74.75</v>
      </c>
    </row>
    <row r="71" spans="2:11" x14ac:dyDescent="0.3">
      <c r="B71">
        <v>32</v>
      </c>
      <c r="C71">
        <v>9</v>
      </c>
      <c r="D71">
        <v>33.03</v>
      </c>
      <c r="E71">
        <v>35.770000000000003</v>
      </c>
      <c r="H71">
        <v>32</v>
      </c>
      <c r="I71">
        <v>4</v>
      </c>
      <c r="J71">
        <v>31.97</v>
      </c>
      <c r="K71">
        <v>34.869999999999997</v>
      </c>
    </row>
    <row r="72" spans="2:11" x14ac:dyDescent="0.3">
      <c r="B72">
        <v>32</v>
      </c>
      <c r="C72">
        <v>18</v>
      </c>
      <c r="D72">
        <v>44.9</v>
      </c>
      <c r="E72">
        <v>48.33</v>
      </c>
      <c r="H72">
        <v>32</v>
      </c>
      <c r="I72">
        <v>9</v>
      </c>
      <c r="J72">
        <v>35.369999999999997</v>
      </c>
      <c r="K72">
        <v>38.299999999999997</v>
      </c>
    </row>
    <row r="73" spans="2:11" x14ac:dyDescent="0.3">
      <c r="B73">
        <v>32</v>
      </c>
      <c r="C73">
        <v>27</v>
      </c>
      <c r="D73">
        <v>50.7</v>
      </c>
      <c r="E73">
        <v>54.47</v>
      </c>
      <c r="H73">
        <v>32</v>
      </c>
      <c r="I73">
        <v>18</v>
      </c>
      <c r="J73">
        <v>45.97</v>
      </c>
      <c r="K73">
        <v>49.5</v>
      </c>
    </row>
    <row r="74" spans="2:11" x14ac:dyDescent="0.3">
      <c r="B74">
        <v>32</v>
      </c>
      <c r="C74">
        <v>48</v>
      </c>
      <c r="D74">
        <v>68.099999999999994</v>
      </c>
      <c r="E74">
        <v>72.569999999999993</v>
      </c>
      <c r="H74">
        <v>32</v>
      </c>
      <c r="I74">
        <v>27</v>
      </c>
      <c r="J74">
        <v>53.4</v>
      </c>
      <c r="K74">
        <v>57.37</v>
      </c>
    </row>
    <row r="75" spans="2:11" x14ac:dyDescent="0.3">
      <c r="B75">
        <v>32</v>
      </c>
      <c r="C75">
        <v>60</v>
      </c>
      <c r="D75">
        <v>70.8</v>
      </c>
      <c r="E75">
        <v>75.069999999999993</v>
      </c>
      <c r="H75">
        <v>32</v>
      </c>
      <c r="I75">
        <v>48</v>
      </c>
      <c r="J75">
        <v>68.099999999999994</v>
      </c>
      <c r="K75">
        <v>72.569999999999993</v>
      </c>
    </row>
    <row r="76" spans="2:11" x14ac:dyDescent="0.3">
      <c r="B76">
        <v>33</v>
      </c>
      <c r="C76">
        <v>4</v>
      </c>
      <c r="D76">
        <v>21.23</v>
      </c>
      <c r="E76">
        <v>23.52</v>
      </c>
      <c r="H76">
        <v>32</v>
      </c>
      <c r="I76">
        <v>60</v>
      </c>
      <c r="J76">
        <v>70.8</v>
      </c>
      <c r="K76">
        <v>75.069999999999993</v>
      </c>
    </row>
    <row r="77" spans="2:11" x14ac:dyDescent="0.3">
      <c r="B77">
        <v>33</v>
      </c>
      <c r="C77">
        <v>9</v>
      </c>
      <c r="D77">
        <v>34.01</v>
      </c>
      <c r="E77">
        <v>36.729999999999997</v>
      </c>
      <c r="H77">
        <v>33</v>
      </c>
      <c r="I77">
        <v>4</v>
      </c>
      <c r="J77">
        <v>32.92</v>
      </c>
      <c r="K77">
        <v>35.799999999999997</v>
      </c>
    </row>
    <row r="78" spans="2:11" x14ac:dyDescent="0.3">
      <c r="B78">
        <v>33</v>
      </c>
      <c r="C78">
        <v>18</v>
      </c>
      <c r="D78">
        <v>45.8</v>
      </c>
      <c r="E78">
        <v>49.35</v>
      </c>
      <c r="H78">
        <v>33</v>
      </c>
      <c r="I78">
        <v>9</v>
      </c>
      <c r="J78">
        <v>36.33</v>
      </c>
      <c r="K78">
        <v>39.270000000000003</v>
      </c>
    </row>
    <row r="79" spans="2:11" x14ac:dyDescent="0.3">
      <c r="B79">
        <v>33</v>
      </c>
      <c r="C79">
        <v>27</v>
      </c>
      <c r="D79">
        <v>51.49</v>
      </c>
      <c r="E79">
        <v>55.43</v>
      </c>
      <c r="H79">
        <v>33</v>
      </c>
      <c r="I79">
        <v>18</v>
      </c>
      <c r="J79">
        <v>46.85</v>
      </c>
      <c r="K79">
        <v>50.49</v>
      </c>
    </row>
    <row r="80" spans="2:11" x14ac:dyDescent="0.3">
      <c r="B80">
        <v>33</v>
      </c>
      <c r="C80">
        <v>48</v>
      </c>
      <c r="D80">
        <v>68.31</v>
      </c>
      <c r="E80">
        <v>73.05</v>
      </c>
      <c r="H80">
        <v>33</v>
      </c>
      <c r="I80">
        <v>27</v>
      </c>
      <c r="J80">
        <v>54.13</v>
      </c>
      <c r="K80">
        <v>58.28</v>
      </c>
    </row>
    <row r="81" spans="2:11" x14ac:dyDescent="0.3">
      <c r="B81">
        <v>33</v>
      </c>
      <c r="C81">
        <v>60</v>
      </c>
      <c r="D81">
        <v>70.81</v>
      </c>
      <c r="E81">
        <v>75.39</v>
      </c>
      <c r="H81">
        <v>33</v>
      </c>
      <c r="I81">
        <v>48</v>
      </c>
      <c r="J81">
        <v>68.31</v>
      </c>
      <c r="K81">
        <v>73.05</v>
      </c>
    </row>
    <row r="82" spans="2:11" x14ac:dyDescent="0.3">
      <c r="B82">
        <v>34</v>
      </c>
      <c r="C82">
        <v>4</v>
      </c>
      <c r="D82">
        <v>22.02</v>
      </c>
      <c r="E82">
        <v>24.34</v>
      </c>
      <c r="H82">
        <v>33</v>
      </c>
      <c r="I82">
        <v>60</v>
      </c>
      <c r="J82">
        <v>70.81</v>
      </c>
      <c r="K82">
        <v>75.39</v>
      </c>
    </row>
    <row r="83" spans="2:11" x14ac:dyDescent="0.3">
      <c r="B83">
        <v>34</v>
      </c>
      <c r="C83">
        <v>9</v>
      </c>
      <c r="D83">
        <v>34.99</v>
      </c>
      <c r="E83">
        <v>37.700000000000003</v>
      </c>
      <c r="H83">
        <v>34</v>
      </c>
      <c r="I83">
        <v>7</v>
      </c>
      <c r="J83">
        <v>33.869999999999997</v>
      </c>
      <c r="K83">
        <v>36.729999999999997</v>
      </c>
    </row>
    <row r="84" spans="2:11" x14ac:dyDescent="0.3">
      <c r="B84">
        <v>34</v>
      </c>
      <c r="C84">
        <v>18</v>
      </c>
      <c r="D84">
        <v>46.7</v>
      </c>
      <c r="E84">
        <v>50.36</v>
      </c>
      <c r="H84">
        <v>34</v>
      </c>
      <c r="I84">
        <v>9</v>
      </c>
      <c r="J84">
        <v>37.299999999999997</v>
      </c>
      <c r="K84">
        <v>40.229999999999997</v>
      </c>
    </row>
    <row r="85" spans="2:11" x14ac:dyDescent="0.3">
      <c r="B85">
        <v>34</v>
      </c>
      <c r="C85">
        <v>27</v>
      </c>
      <c r="D85">
        <v>52.29</v>
      </c>
      <c r="E85">
        <v>56.39</v>
      </c>
      <c r="H85">
        <v>34</v>
      </c>
      <c r="I85">
        <v>18</v>
      </c>
      <c r="J85">
        <v>47.74</v>
      </c>
      <c r="K85">
        <v>51.49</v>
      </c>
    </row>
    <row r="86" spans="2:11" x14ac:dyDescent="0.3">
      <c r="B86">
        <v>34</v>
      </c>
      <c r="C86">
        <v>48</v>
      </c>
      <c r="D86">
        <v>68.510000000000005</v>
      </c>
      <c r="E86">
        <v>73.540000000000006</v>
      </c>
      <c r="H86">
        <v>34</v>
      </c>
      <c r="I86">
        <v>27</v>
      </c>
      <c r="J86">
        <v>54.87</v>
      </c>
      <c r="K86">
        <v>59.19</v>
      </c>
    </row>
    <row r="87" spans="2:11" x14ac:dyDescent="0.3">
      <c r="B87">
        <v>34</v>
      </c>
      <c r="C87">
        <v>60</v>
      </c>
      <c r="D87">
        <v>70.83</v>
      </c>
      <c r="E87">
        <v>75.709999999999994</v>
      </c>
      <c r="H87">
        <v>34</v>
      </c>
      <c r="I87">
        <v>48</v>
      </c>
      <c r="J87">
        <v>68.510000000000005</v>
      </c>
      <c r="K87">
        <v>73.540000000000006</v>
      </c>
    </row>
    <row r="88" spans="2:11" x14ac:dyDescent="0.3">
      <c r="B88">
        <v>35</v>
      </c>
      <c r="C88">
        <v>4</v>
      </c>
      <c r="D88">
        <v>22.81</v>
      </c>
      <c r="E88">
        <v>25.16</v>
      </c>
      <c r="H88">
        <v>34</v>
      </c>
      <c r="I88">
        <v>60</v>
      </c>
      <c r="J88">
        <v>70.83</v>
      </c>
      <c r="K88">
        <v>75.709999999999994</v>
      </c>
    </row>
    <row r="89" spans="2:11" x14ac:dyDescent="0.3">
      <c r="B89">
        <v>35</v>
      </c>
      <c r="C89">
        <v>9</v>
      </c>
      <c r="D89">
        <v>35.97</v>
      </c>
      <c r="E89">
        <v>38.67</v>
      </c>
      <c r="H89">
        <v>35</v>
      </c>
      <c r="I89">
        <v>4</v>
      </c>
      <c r="J89">
        <v>34.83</v>
      </c>
      <c r="K89">
        <v>37.67</v>
      </c>
    </row>
    <row r="90" spans="2:11" x14ac:dyDescent="0.3">
      <c r="B90">
        <v>35</v>
      </c>
      <c r="C90">
        <v>18</v>
      </c>
      <c r="D90">
        <v>47.6</v>
      </c>
      <c r="E90">
        <v>51.37</v>
      </c>
      <c r="H90">
        <v>35</v>
      </c>
      <c r="I90">
        <v>9</v>
      </c>
      <c r="J90">
        <v>38.270000000000003</v>
      </c>
      <c r="K90">
        <v>41.2</v>
      </c>
    </row>
    <row r="91" spans="2:11" x14ac:dyDescent="0.3">
      <c r="B91">
        <v>35</v>
      </c>
      <c r="C91">
        <v>27</v>
      </c>
      <c r="D91">
        <v>53.08</v>
      </c>
      <c r="E91">
        <v>57.35</v>
      </c>
      <c r="H91">
        <v>35</v>
      </c>
      <c r="I91">
        <v>18</v>
      </c>
      <c r="J91">
        <v>48.63</v>
      </c>
      <c r="K91">
        <v>52.48</v>
      </c>
    </row>
    <row r="92" spans="2:11" x14ac:dyDescent="0.3">
      <c r="B92">
        <v>35</v>
      </c>
      <c r="C92">
        <v>48</v>
      </c>
      <c r="D92">
        <v>68.72</v>
      </c>
      <c r="E92">
        <v>74.03</v>
      </c>
      <c r="H92">
        <v>35</v>
      </c>
      <c r="I92">
        <v>27</v>
      </c>
      <c r="J92">
        <v>55.6</v>
      </c>
      <c r="K92">
        <v>60.11</v>
      </c>
    </row>
    <row r="93" spans="2:11" x14ac:dyDescent="0.3">
      <c r="B93">
        <v>35</v>
      </c>
      <c r="C93">
        <v>60</v>
      </c>
      <c r="D93">
        <v>70.84</v>
      </c>
      <c r="E93">
        <v>76.03</v>
      </c>
      <c r="H93">
        <v>35</v>
      </c>
      <c r="I93">
        <v>48</v>
      </c>
      <c r="J93">
        <v>68.72</v>
      </c>
      <c r="K93">
        <v>74.03</v>
      </c>
    </row>
    <row r="94" spans="2:11" x14ac:dyDescent="0.3">
      <c r="B94">
        <v>36</v>
      </c>
      <c r="C94">
        <v>4</v>
      </c>
      <c r="D94">
        <v>23.61</v>
      </c>
      <c r="E94">
        <v>25.98</v>
      </c>
      <c r="H94">
        <v>35</v>
      </c>
      <c r="I94">
        <v>60</v>
      </c>
      <c r="J94">
        <v>70.84</v>
      </c>
      <c r="K94">
        <v>76.03</v>
      </c>
    </row>
    <row r="95" spans="2:11" x14ac:dyDescent="0.3">
      <c r="B95">
        <v>36</v>
      </c>
      <c r="C95">
        <v>9</v>
      </c>
      <c r="D95">
        <v>36.950000000000003</v>
      </c>
      <c r="E95">
        <v>39.630000000000003</v>
      </c>
      <c r="H95">
        <v>36</v>
      </c>
      <c r="I95">
        <v>4</v>
      </c>
      <c r="J95">
        <v>35.78</v>
      </c>
      <c r="K95">
        <v>38.6</v>
      </c>
    </row>
    <row r="96" spans="2:11" x14ac:dyDescent="0.3">
      <c r="B96">
        <v>36</v>
      </c>
      <c r="C96">
        <v>18</v>
      </c>
      <c r="D96">
        <v>48.5</v>
      </c>
      <c r="E96">
        <v>52.39</v>
      </c>
      <c r="H96">
        <v>36</v>
      </c>
      <c r="I96">
        <v>9</v>
      </c>
      <c r="J96">
        <v>39.229999999999997</v>
      </c>
      <c r="K96">
        <v>42.17</v>
      </c>
    </row>
    <row r="97" spans="2:11" x14ac:dyDescent="0.3">
      <c r="B97">
        <v>36</v>
      </c>
      <c r="C97">
        <v>27</v>
      </c>
      <c r="D97">
        <v>53.87</v>
      </c>
      <c r="E97">
        <v>58.31</v>
      </c>
      <c r="H97">
        <v>36</v>
      </c>
      <c r="I97">
        <v>18</v>
      </c>
      <c r="J97">
        <v>49.51</v>
      </c>
      <c r="K97">
        <v>53.47</v>
      </c>
    </row>
    <row r="98" spans="2:11" x14ac:dyDescent="0.3">
      <c r="B98">
        <v>36</v>
      </c>
      <c r="C98">
        <v>48</v>
      </c>
      <c r="D98">
        <v>68.930000000000007</v>
      </c>
      <c r="E98">
        <v>74.510000000000005</v>
      </c>
      <c r="H98">
        <v>36</v>
      </c>
      <c r="I98">
        <v>27</v>
      </c>
      <c r="J98">
        <v>56.33</v>
      </c>
      <c r="K98">
        <v>61.02</v>
      </c>
    </row>
    <row r="99" spans="2:11" x14ac:dyDescent="0.3">
      <c r="B99">
        <v>36</v>
      </c>
      <c r="C99">
        <v>60</v>
      </c>
      <c r="D99">
        <v>70.849999999999994</v>
      </c>
      <c r="E99">
        <v>76.349999999999994</v>
      </c>
      <c r="H99">
        <v>36</v>
      </c>
      <c r="I99">
        <v>48</v>
      </c>
      <c r="J99">
        <v>68.930000000000007</v>
      </c>
      <c r="K99">
        <v>74.510000000000005</v>
      </c>
    </row>
    <row r="100" spans="2:11" x14ac:dyDescent="0.3">
      <c r="B100">
        <v>37</v>
      </c>
      <c r="C100">
        <v>4</v>
      </c>
      <c r="D100">
        <v>24.4</v>
      </c>
      <c r="E100">
        <v>26.8</v>
      </c>
      <c r="H100">
        <v>36</v>
      </c>
      <c r="I100">
        <v>60</v>
      </c>
      <c r="J100">
        <v>70.849999999999994</v>
      </c>
      <c r="K100">
        <v>76.349999999999994</v>
      </c>
    </row>
    <row r="101" spans="2:11" x14ac:dyDescent="0.3">
      <c r="B101">
        <v>37</v>
      </c>
      <c r="C101">
        <v>9</v>
      </c>
      <c r="D101">
        <v>37.93</v>
      </c>
      <c r="E101">
        <v>40.6</v>
      </c>
      <c r="H101">
        <v>37</v>
      </c>
      <c r="I101">
        <v>7</v>
      </c>
      <c r="J101">
        <v>36.729999999999997</v>
      </c>
      <c r="K101">
        <v>39.53</v>
      </c>
    </row>
    <row r="102" spans="2:11" x14ac:dyDescent="0.3">
      <c r="B102">
        <v>37</v>
      </c>
      <c r="C102">
        <v>18</v>
      </c>
      <c r="D102">
        <v>49.4</v>
      </c>
      <c r="E102">
        <v>53.4</v>
      </c>
      <c r="H102">
        <v>37</v>
      </c>
      <c r="I102">
        <v>9</v>
      </c>
      <c r="J102">
        <v>40.200000000000003</v>
      </c>
      <c r="K102">
        <v>43.13</v>
      </c>
    </row>
    <row r="103" spans="2:11" x14ac:dyDescent="0.3">
      <c r="B103">
        <v>37</v>
      </c>
      <c r="C103">
        <v>27</v>
      </c>
      <c r="D103">
        <v>54.67</v>
      </c>
      <c r="E103">
        <v>59.27</v>
      </c>
      <c r="H103">
        <v>37</v>
      </c>
      <c r="I103">
        <v>18</v>
      </c>
      <c r="J103">
        <v>50.4</v>
      </c>
      <c r="K103">
        <v>54.47</v>
      </c>
    </row>
    <row r="104" spans="2:11" x14ac:dyDescent="0.3">
      <c r="B104">
        <v>37</v>
      </c>
      <c r="C104">
        <v>48</v>
      </c>
      <c r="D104">
        <v>69.13</v>
      </c>
      <c r="E104">
        <v>75</v>
      </c>
      <c r="H104">
        <v>37</v>
      </c>
      <c r="I104">
        <v>27</v>
      </c>
      <c r="J104">
        <v>57.07</v>
      </c>
      <c r="K104">
        <v>61.93</v>
      </c>
    </row>
    <row r="105" spans="2:11" x14ac:dyDescent="0.3">
      <c r="B105">
        <v>37</v>
      </c>
      <c r="C105">
        <v>60</v>
      </c>
      <c r="D105">
        <v>70.87</v>
      </c>
      <c r="E105">
        <v>76.67</v>
      </c>
      <c r="H105">
        <v>37</v>
      </c>
      <c r="I105">
        <v>48</v>
      </c>
      <c r="J105">
        <v>69.13</v>
      </c>
      <c r="K105">
        <v>75</v>
      </c>
    </row>
    <row r="106" spans="2:11" x14ac:dyDescent="0.3">
      <c r="B106">
        <v>38</v>
      </c>
      <c r="C106">
        <v>4</v>
      </c>
      <c r="D106">
        <v>24.85</v>
      </c>
      <c r="E106">
        <v>27.05</v>
      </c>
      <c r="H106">
        <v>37</v>
      </c>
      <c r="I106">
        <v>60</v>
      </c>
      <c r="J106">
        <v>70.87</v>
      </c>
      <c r="K106">
        <v>76.67</v>
      </c>
    </row>
    <row r="107" spans="2:11" x14ac:dyDescent="0.3">
      <c r="B107">
        <v>38</v>
      </c>
      <c r="C107">
        <v>9</v>
      </c>
      <c r="D107">
        <v>38.24</v>
      </c>
      <c r="E107">
        <v>40.69</v>
      </c>
      <c r="H107">
        <v>38</v>
      </c>
      <c r="I107">
        <v>4</v>
      </c>
      <c r="J107">
        <v>37.03</v>
      </c>
      <c r="K107">
        <v>39.61</v>
      </c>
    </row>
    <row r="108" spans="2:11" x14ac:dyDescent="0.3">
      <c r="B108">
        <v>38</v>
      </c>
      <c r="C108">
        <v>18</v>
      </c>
      <c r="D108">
        <v>49.41</v>
      </c>
      <c r="E108">
        <v>53.23</v>
      </c>
      <c r="H108">
        <v>38</v>
      </c>
      <c r="I108">
        <v>9</v>
      </c>
      <c r="J108">
        <v>40.44</v>
      </c>
      <c r="K108">
        <v>43.17</v>
      </c>
    </row>
    <row r="109" spans="2:11" x14ac:dyDescent="0.3">
      <c r="B109">
        <v>38</v>
      </c>
      <c r="C109">
        <v>27</v>
      </c>
      <c r="D109">
        <v>54.45</v>
      </c>
      <c r="E109">
        <v>58.86</v>
      </c>
      <c r="H109">
        <v>38</v>
      </c>
      <c r="I109">
        <v>18</v>
      </c>
      <c r="J109">
        <v>50.37</v>
      </c>
      <c r="K109">
        <v>54.26</v>
      </c>
    </row>
    <row r="110" spans="2:11" x14ac:dyDescent="0.3">
      <c r="B110">
        <v>38</v>
      </c>
      <c r="C110">
        <v>48</v>
      </c>
      <c r="D110">
        <v>68.06</v>
      </c>
      <c r="E110">
        <v>73.69</v>
      </c>
      <c r="H110">
        <v>38</v>
      </c>
      <c r="I110">
        <v>27</v>
      </c>
      <c r="J110">
        <v>56.73</v>
      </c>
      <c r="K110">
        <v>61.4</v>
      </c>
    </row>
    <row r="111" spans="2:11" x14ac:dyDescent="0.3">
      <c r="B111">
        <v>38</v>
      </c>
      <c r="C111">
        <v>60</v>
      </c>
      <c r="D111">
        <v>69.53</v>
      </c>
      <c r="E111">
        <v>75.09</v>
      </c>
      <c r="H111">
        <v>38</v>
      </c>
      <c r="I111">
        <v>48</v>
      </c>
      <c r="J111">
        <v>68.06</v>
      </c>
      <c r="K111">
        <v>73.69</v>
      </c>
    </row>
    <row r="112" spans="2:11" x14ac:dyDescent="0.3">
      <c r="B112">
        <v>39</v>
      </c>
      <c r="C112">
        <v>4</v>
      </c>
      <c r="D112">
        <v>25.31</v>
      </c>
      <c r="E112">
        <v>27.31</v>
      </c>
      <c r="H112">
        <v>38</v>
      </c>
      <c r="I112">
        <v>60</v>
      </c>
      <c r="J112">
        <v>69.53</v>
      </c>
      <c r="K112">
        <v>75.09</v>
      </c>
    </row>
    <row r="113" spans="2:11" x14ac:dyDescent="0.3">
      <c r="B113">
        <v>39</v>
      </c>
      <c r="C113">
        <v>9</v>
      </c>
      <c r="D113">
        <v>38.549999999999997</v>
      </c>
      <c r="E113">
        <v>40.79</v>
      </c>
      <c r="H113">
        <v>39</v>
      </c>
      <c r="I113">
        <v>4</v>
      </c>
      <c r="J113">
        <v>37.32</v>
      </c>
      <c r="K113">
        <v>39.69</v>
      </c>
    </row>
    <row r="114" spans="2:11" x14ac:dyDescent="0.3">
      <c r="B114">
        <v>39</v>
      </c>
      <c r="C114">
        <v>18</v>
      </c>
      <c r="D114">
        <v>49.41</v>
      </c>
      <c r="E114">
        <v>53.05</v>
      </c>
      <c r="H114">
        <v>39</v>
      </c>
      <c r="I114">
        <v>9</v>
      </c>
      <c r="J114">
        <v>40.68</v>
      </c>
      <c r="K114">
        <v>43.2</v>
      </c>
    </row>
    <row r="115" spans="2:11" x14ac:dyDescent="0.3">
      <c r="B115">
        <v>39</v>
      </c>
      <c r="C115">
        <v>27</v>
      </c>
      <c r="D115">
        <v>54.23</v>
      </c>
      <c r="E115">
        <v>58.45</v>
      </c>
      <c r="H115">
        <v>39</v>
      </c>
      <c r="I115">
        <v>18</v>
      </c>
      <c r="J115">
        <v>50.33</v>
      </c>
      <c r="K115">
        <v>54.05</v>
      </c>
    </row>
    <row r="116" spans="2:11" x14ac:dyDescent="0.3">
      <c r="B116">
        <v>39</v>
      </c>
      <c r="C116">
        <v>48</v>
      </c>
      <c r="D116">
        <v>66.989999999999995</v>
      </c>
      <c r="E116">
        <v>72.39</v>
      </c>
      <c r="H116">
        <v>39</v>
      </c>
      <c r="I116">
        <v>27</v>
      </c>
      <c r="J116">
        <v>56.39</v>
      </c>
      <c r="K116">
        <v>60.87</v>
      </c>
    </row>
    <row r="117" spans="2:11" x14ac:dyDescent="0.3">
      <c r="B117">
        <v>39</v>
      </c>
      <c r="C117">
        <v>60</v>
      </c>
      <c r="D117">
        <v>68.19</v>
      </c>
      <c r="E117">
        <v>73.510000000000005</v>
      </c>
      <c r="H117">
        <v>39</v>
      </c>
      <c r="I117">
        <v>48</v>
      </c>
      <c r="J117">
        <v>66.989999999999995</v>
      </c>
      <c r="K117">
        <v>72.39</v>
      </c>
    </row>
    <row r="118" spans="2:11" x14ac:dyDescent="0.3">
      <c r="B118">
        <v>40</v>
      </c>
      <c r="C118">
        <v>4</v>
      </c>
      <c r="D118">
        <v>25.76</v>
      </c>
      <c r="E118">
        <v>27.56</v>
      </c>
      <c r="H118">
        <v>39</v>
      </c>
      <c r="I118">
        <v>60</v>
      </c>
      <c r="J118">
        <v>68.19</v>
      </c>
      <c r="K118">
        <v>73.510000000000005</v>
      </c>
    </row>
    <row r="119" spans="2:11" x14ac:dyDescent="0.3">
      <c r="B119">
        <v>40</v>
      </c>
      <c r="C119">
        <v>9</v>
      </c>
      <c r="D119">
        <v>38.85</v>
      </c>
      <c r="E119">
        <v>40.880000000000003</v>
      </c>
      <c r="H119">
        <v>40</v>
      </c>
      <c r="I119">
        <v>7</v>
      </c>
      <c r="J119">
        <v>37.61</v>
      </c>
      <c r="K119">
        <v>39.770000000000003</v>
      </c>
    </row>
    <row r="120" spans="2:11" x14ac:dyDescent="0.3">
      <c r="B120">
        <v>40</v>
      </c>
      <c r="C120">
        <v>18</v>
      </c>
      <c r="D120">
        <v>49.42</v>
      </c>
      <c r="E120">
        <v>52.88</v>
      </c>
      <c r="H120">
        <v>40</v>
      </c>
      <c r="I120">
        <v>9</v>
      </c>
      <c r="J120">
        <v>40.92</v>
      </c>
      <c r="K120">
        <v>43.23</v>
      </c>
    </row>
    <row r="121" spans="2:11" x14ac:dyDescent="0.3">
      <c r="B121">
        <v>40</v>
      </c>
      <c r="C121">
        <v>27</v>
      </c>
      <c r="D121">
        <v>54.01</v>
      </c>
      <c r="E121">
        <v>58.05</v>
      </c>
      <c r="H121">
        <v>40</v>
      </c>
      <c r="I121">
        <v>18</v>
      </c>
      <c r="J121">
        <v>50.3</v>
      </c>
      <c r="K121">
        <v>53.85</v>
      </c>
    </row>
    <row r="122" spans="2:11" x14ac:dyDescent="0.3">
      <c r="B122">
        <v>40</v>
      </c>
      <c r="C122">
        <v>48</v>
      </c>
      <c r="D122">
        <v>65.91</v>
      </c>
      <c r="E122">
        <v>71.08</v>
      </c>
      <c r="H122">
        <v>40</v>
      </c>
      <c r="I122">
        <v>27</v>
      </c>
      <c r="J122">
        <v>56.05</v>
      </c>
      <c r="K122">
        <v>60.33</v>
      </c>
    </row>
    <row r="123" spans="2:11" x14ac:dyDescent="0.3">
      <c r="B123">
        <v>40</v>
      </c>
      <c r="C123">
        <v>60</v>
      </c>
      <c r="D123">
        <v>66.849999999999994</v>
      </c>
      <c r="E123">
        <v>71.930000000000007</v>
      </c>
      <c r="H123">
        <v>40</v>
      </c>
      <c r="I123">
        <v>48</v>
      </c>
      <c r="J123">
        <v>65.91</v>
      </c>
      <c r="K123">
        <v>71.08</v>
      </c>
    </row>
    <row r="124" spans="2:11" x14ac:dyDescent="0.3">
      <c r="B124">
        <v>41</v>
      </c>
      <c r="C124">
        <v>4</v>
      </c>
      <c r="D124">
        <v>26.21</v>
      </c>
      <c r="E124">
        <v>27.81</v>
      </c>
      <c r="H124">
        <v>40</v>
      </c>
      <c r="I124">
        <v>60</v>
      </c>
      <c r="J124">
        <v>66.849999999999994</v>
      </c>
      <c r="K124">
        <v>71.930000000000007</v>
      </c>
    </row>
    <row r="125" spans="2:11" x14ac:dyDescent="0.3">
      <c r="B125">
        <v>41</v>
      </c>
      <c r="C125">
        <v>9</v>
      </c>
      <c r="D125">
        <v>39.159999999999997</v>
      </c>
      <c r="E125">
        <v>40.97</v>
      </c>
      <c r="H125">
        <v>41</v>
      </c>
      <c r="I125">
        <v>4</v>
      </c>
      <c r="J125">
        <v>37.909999999999997</v>
      </c>
      <c r="K125">
        <v>39.85</v>
      </c>
    </row>
    <row r="126" spans="2:11" x14ac:dyDescent="0.3">
      <c r="B126">
        <v>41</v>
      </c>
      <c r="C126">
        <v>18</v>
      </c>
      <c r="D126">
        <v>49.43</v>
      </c>
      <c r="E126">
        <v>52.71</v>
      </c>
      <c r="H126">
        <v>41</v>
      </c>
      <c r="I126">
        <v>9</v>
      </c>
      <c r="J126">
        <v>41.16</v>
      </c>
      <c r="K126">
        <v>43.27</v>
      </c>
    </row>
    <row r="127" spans="2:11" x14ac:dyDescent="0.3">
      <c r="B127">
        <v>41</v>
      </c>
      <c r="C127">
        <v>27</v>
      </c>
      <c r="D127">
        <v>53.79</v>
      </c>
      <c r="E127">
        <v>57.64</v>
      </c>
      <c r="H127">
        <v>41</v>
      </c>
      <c r="I127">
        <v>18</v>
      </c>
      <c r="J127">
        <v>50.27</v>
      </c>
      <c r="K127">
        <v>53.64</v>
      </c>
    </row>
    <row r="128" spans="2:11" x14ac:dyDescent="0.3">
      <c r="B128">
        <v>41</v>
      </c>
      <c r="C128">
        <v>48</v>
      </c>
      <c r="D128">
        <v>64.84</v>
      </c>
      <c r="E128">
        <v>69.77</v>
      </c>
      <c r="H128">
        <v>41</v>
      </c>
      <c r="I128">
        <v>27</v>
      </c>
      <c r="J128">
        <v>55.71</v>
      </c>
      <c r="K128">
        <v>59.8</v>
      </c>
    </row>
    <row r="129" spans="2:11" x14ac:dyDescent="0.3">
      <c r="B129">
        <v>41</v>
      </c>
      <c r="C129">
        <v>60</v>
      </c>
      <c r="D129">
        <v>65.510000000000005</v>
      </c>
      <c r="E129">
        <v>70.349999999999994</v>
      </c>
      <c r="H129">
        <v>41</v>
      </c>
      <c r="I129">
        <v>48</v>
      </c>
      <c r="J129">
        <v>64.84</v>
      </c>
      <c r="K129">
        <v>69.77</v>
      </c>
    </row>
    <row r="130" spans="2:11" x14ac:dyDescent="0.3">
      <c r="B130">
        <v>42</v>
      </c>
      <c r="C130">
        <v>4</v>
      </c>
      <c r="D130">
        <v>26.67</v>
      </c>
      <c r="E130">
        <v>28.07</v>
      </c>
      <c r="H130">
        <v>41</v>
      </c>
      <c r="I130">
        <v>60</v>
      </c>
      <c r="J130">
        <v>65.510000000000005</v>
      </c>
      <c r="K130">
        <v>70.349999999999994</v>
      </c>
    </row>
    <row r="131" spans="2:11" x14ac:dyDescent="0.3">
      <c r="B131">
        <v>42</v>
      </c>
      <c r="C131">
        <v>9</v>
      </c>
      <c r="D131">
        <v>39.47</v>
      </c>
      <c r="E131">
        <v>41.07</v>
      </c>
      <c r="H131">
        <v>42</v>
      </c>
      <c r="I131">
        <v>4</v>
      </c>
      <c r="J131">
        <v>38.200000000000003</v>
      </c>
      <c r="K131">
        <v>39.93</v>
      </c>
    </row>
    <row r="132" spans="2:11" x14ac:dyDescent="0.3">
      <c r="B132">
        <v>42</v>
      </c>
      <c r="C132">
        <v>18</v>
      </c>
      <c r="D132">
        <v>49.43</v>
      </c>
      <c r="E132">
        <v>52.53</v>
      </c>
      <c r="H132">
        <v>42</v>
      </c>
      <c r="I132">
        <v>9</v>
      </c>
      <c r="J132">
        <v>41.4</v>
      </c>
      <c r="K132">
        <v>43.3</v>
      </c>
    </row>
    <row r="133" spans="2:11" x14ac:dyDescent="0.3">
      <c r="B133">
        <v>42</v>
      </c>
      <c r="C133">
        <v>27</v>
      </c>
      <c r="D133">
        <v>53.57</v>
      </c>
      <c r="E133">
        <v>57.23</v>
      </c>
      <c r="H133">
        <v>42</v>
      </c>
      <c r="I133">
        <v>18</v>
      </c>
      <c r="J133">
        <v>50.23</v>
      </c>
      <c r="K133">
        <v>53.43</v>
      </c>
    </row>
    <row r="134" spans="2:11" x14ac:dyDescent="0.3">
      <c r="B134">
        <v>42</v>
      </c>
      <c r="C134">
        <v>48</v>
      </c>
      <c r="D134">
        <v>63.77</v>
      </c>
      <c r="E134">
        <v>68.47</v>
      </c>
      <c r="H134">
        <v>42</v>
      </c>
      <c r="I134">
        <v>27</v>
      </c>
      <c r="J134">
        <v>55.37</v>
      </c>
      <c r="K134">
        <v>59.27</v>
      </c>
    </row>
    <row r="135" spans="2:11" x14ac:dyDescent="0.3">
      <c r="B135">
        <v>42</v>
      </c>
      <c r="C135">
        <v>60</v>
      </c>
      <c r="D135">
        <v>64.17</v>
      </c>
      <c r="E135">
        <v>68.77</v>
      </c>
      <c r="H135">
        <v>42</v>
      </c>
      <c r="I135">
        <v>48</v>
      </c>
      <c r="J135">
        <v>63.77</v>
      </c>
      <c r="K135">
        <v>68.47</v>
      </c>
    </row>
    <row r="136" spans="2:11" x14ac:dyDescent="0.3">
      <c r="B136">
        <v>43</v>
      </c>
      <c r="C136">
        <v>4</v>
      </c>
      <c r="D136">
        <v>27.12</v>
      </c>
      <c r="E136">
        <v>28.32</v>
      </c>
      <c r="H136">
        <v>42</v>
      </c>
      <c r="I136">
        <v>60</v>
      </c>
      <c r="J136">
        <v>64.17</v>
      </c>
      <c r="K136">
        <v>68.77</v>
      </c>
    </row>
    <row r="137" spans="2:11" x14ac:dyDescent="0.3">
      <c r="B137">
        <v>43</v>
      </c>
      <c r="C137">
        <v>9</v>
      </c>
      <c r="D137">
        <v>39.770000000000003</v>
      </c>
      <c r="E137">
        <v>41.16</v>
      </c>
      <c r="H137">
        <v>43</v>
      </c>
      <c r="I137">
        <v>4</v>
      </c>
      <c r="J137">
        <v>38.49</v>
      </c>
      <c r="K137">
        <v>40.01</v>
      </c>
    </row>
    <row r="138" spans="2:11" x14ac:dyDescent="0.3">
      <c r="B138">
        <v>43</v>
      </c>
      <c r="C138">
        <v>18</v>
      </c>
      <c r="D138">
        <v>49.44</v>
      </c>
      <c r="E138">
        <v>52.36</v>
      </c>
      <c r="H138">
        <v>43</v>
      </c>
      <c r="I138">
        <v>9</v>
      </c>
      <c r="J138">
        <v>41.64</v>
      </c>
      <c r="K138">
        <v>43.33</v>
      </c>
    </row>
    <row r="139" spans="2:11" x14ac:dyDescent="0.3">
      <c r="B139">
        <v>43</v>
      </c>
      <c r="C139">
        <v>27</v>
      </c>
      <c r="D139">
        <v>53.35</v>
      </c>
      <c r="E139">
        <v>56.83</v>
      </c>
      <c r="H139">
        <v>43</v>
      </c>
      <c r="I139">
        <v>18</v>
      </c>
      <c r="J139">
        <v>50.2</v>
      </c>
      <c r="K139">
        <v>53.23</v>
      </c>
    </row>
    <row r="140" spans="2:11" x14ac:dyDescent="0.3">
      <c r="B140">
        <v>43</v>
      </c>
      <c r="C140">
        <v>48</v>
      </c>
      <c r="D140">
        <v>62.69</v>
      </c>
      <c r="E140">
        <v>67.16</v>
      </c>
      <c r="H140">
        <v>43</v>
      </c>
      <c r="I140">
        <v>27</v>
      </c>
      <c r="J140">
        <v>55.03</v>
      </c>
      <c r="K140">
        <v>58.73</v>
      </c>
    </row>
    <row r="141" spans="2:11" x14ac:dyDescent="0.3">
      <c r="B141">
        <v>43</v>
      </c>
      <c r="C141">
        <v>60</v>
      </c>
      <c r="D141">
        <v>62.83</v>
      </c>
      <c r="E141">
        <v>67.19</v>
      </c>
      <c r="H141">
        <v>43</v>
      </c>
      <c r="I141">
        <v>48</v>
      </c>
      <c r="J141">
        <v>62.69</v>
      </c>
      <c r="K141">
        <v>67.16</v>
      </c>
    </row>
    <row r="142" spans="2:11" x14ac:dyDescent="0.3">
      <c r="B142">
        <v>44</v>
      </c>
      <c r="C142">
        <v>4</v>
      </c>
      <c r="D142">
        <v>27.57</v>
      </c>
      <c r="E142">
        <v>28.57</v>
      </c>
      <c r="H142">
        <v>43</v>
      </c>
      <c r="I142">
        <v>60</v>
      </c>
      <c r="J142">
        <v>62.83</v>
      </c>
      <c r="K142">
        <v>67.19</v>
      </c>
    </row>
    <row r="143" spans="2:11" x14ac:dyDescent="0.3">
      <c r="B143">
        <v>44</v>
      </c>
      <c r="C143">
        <v>9</v>
      </c>
      <c r="D143">
        <v>40.08</v>
      </c>
      <c r="E143">
        <v>41.25</v>
      </c>
      <c r="H143">
        <v>44</v>
      </c>
      <c r="I143">
        <v>7</v>
      </c>
      <c r="J143">
        <v>38.79</v>
      </c>
      <c r="K143">
        <v>40.090000000000003</v>
      </c>
    </row>
    <row r="144" spans="2:11" x14ac:dyDescent="0.3">
      <c r="B144">
        <v>44</v>
      </c>
      <c r="C144">
        <v>18</v>
      </c>
      <c r="D144">
        <v>49.45</v>
      </c>
      <c r="E144">
        <v>52.19</v>
      </c>
      <c r="H144">
        <v>44</v>
      </c>
      <c r="I144">
        <v>9</v>
      </c>
      <c r="J144">
        <v>41.88</v>
      </c>
      <c r="K144">
        <v>43.37</v>
      </c>
    </row>
    <row r="145" spans="2:11" x14ac:dyDescent="0.3">
      <c r="B145">
        <v>44</v>
      </c>
      <c r="C145">
        <v>27</v>
      </c>
      <c r="D145">
        <v>53.13</v>
      </c>
      <c r="E145">
        <v>56.42</v>
      </c>
      <c r="H145">
        <v>44</v>
      </c>
      <c r="I145">
        <v>18</v>
      </c>
      <c r="J145">
        <v>50.17</v>
      </c>
      <c r="K145">
        <v>53.02</v>
      </c>
    </row>
    <row r="146" spans="2:11" x14ac:dyDescent="0.3">
      <c r="B146">
        <v>44</v>
      </c>
      <c r="C146">
        <v>48</v>
      </c>
      <c r="D146">
        <v>61.62</v>
      </c>
      <c r="E146">
        <v>65.849999999999994</v>
      </c>
      <c r="H146">
        <v>44</v>
      </c>
      <c r="I146">
        <v>27</v>
      </c>
      <c r="J146">
        <v>54.69</v>
      </c>
      <c r="K146">
        <v>58.2</v>
      </c>
    </row>
    <row r="147" spans="2:11" x14ac:dyDescent="0.3">
      <c r="B147">
        <v>44</v>
      </c>
      <c r="C147">
        <v>60</v>
      </c>
      <c r="D147">
        <v>61.49</v>
      </c>
      <c r="E147">
        <v>65.61</v>
      </c>
      <c r="H147">
        <v>44</v>
      </c>
      <c r="I147">
        <v>48</v>
      </c>
      <c r="J147">
        <v>61.62</v>
      </c>
      <c r="K147">
        <v>65.849999999999994</v>
      </c>
    </row>
    <row r="148" spans="2:11" x14ac:dyDescent="0.3">
      <c r="B148">
        <v>45</v>
      </c>
      <c r="C148">
        <v>4</v>
      </c>
      <c r="D148">
        <v>28.03</v>
      </c>
      <c r="E148">
        <v>28.83</v>
      </c>
      <c r="H148">
        <v>44</v>
      </c>
      <c r="I148">
        <v>60</v>
      </c>
      <c r="J148">
        <v>61.49</v>
      </c>
      <c r="K148">
        <v>65.61</v>
      </c>
    </row>
    <row r="149" spans="2:11" x14ac:dyDescent="0.3">
      <c r="B149">
        <v>45</v>
      </c>
      <c r="C149">
        <v>9</v>
      </c>
      <c r="D149">
        <v>40.39</v>
      </c>
      <c r="E149">
        <v>41.35</v>
      </c>
      <c r="H149">
        <v>45</v>
      </c>
      <c r="I149">
        <v>4</v>
      </c>
      <c r="J149">
        <v>39.08</v>
      </c>
      <c r="K149">
        <v>40.17</v>
      </c>
    </row>
    <row r="150" spans="2:11" x14ac:dyDescent="0.3">
      <c r="B150">
        <v>45</v>
      </c>
      <c r="C150">
        <v>18</v>
      </c>
      <c r="D150">
        <v>49.45</v>
      </c>
      <c r="E150">
        <v>52.01</v>
      </c>
      <c r="H150">
        <v>45</v>
      </c>
      <c r="I150">
        <v>9</v>
      </c>
      <c r="J150">
        <v>42.12</v>
      </c>
      <c r="K150">
        <v>43.4</v>
      </c>
    </row>
    <row r="151" spans="2:11" x14ac:dyDescent="0.3">
      <c r="B151">
        <v>45</v>
      </c>
      <c r="C151">
        <v>27</v>
      </c>
      <c r="D151">
        <v>52.91</v>
      </c>
      <c r="E151">
        <v>56.01</v>
      </c>
      <c r="H151">
        <v>45</v>
      </c>
      <c r="I151">
        <v>18</v>
      </c>
      <c r="J151">
        <v>50.13</v>
      </c>
      <c r="K151">
        <v>52.81</v>
      </c>
    </row>
    <row r="152" spans="2:11" x14ac:dyDescent="0.3">
      <c r="B152">
        <v>45</v>
      </c>
      <c r="C152">
        <v>48</v>
      </c>
      <c r="D152">
        <v>60.55</v>
      </c>
      <c r="E152">
        <v>64.55</v>
      </c>
      <c r="H152">
        <v>45</v>
      </c>
      <c r="I152">
        <v>27</v>
      </c>
      <c r="J152">
        <v>54.35</v>
      </c>
      <c r="K152">
        <v>57.67</v>
      </c>
    </row>
    <row r="153" spans="2:11" x14ac:dyDescent="0.3">
      <c r="B153">
        <v>45</v>
      </c>
      <c r="C153">
        <v>60</v>
      </c>
      <c r="D153">
        <v>60.15</v>
      </c>
      <c r="E153">
        <v>64.03</v>
      </c>
      <c r="H153">
        <v>45</v>
      </c>
      <c r="I153">
        <v>48</v>
      </c>
      <c r="J153">
        <v>60.55</v>
      </c>
      <c r="K153">
        <v>64.55</v>
      </c>
    </row>
    <row r="154" spans="2:11" x14ac:dyDescent="0.3">
      <c r="B154">
        <v>46</v>
      </c>
      <c r="C154">
        <v>4</v>
      </c>
      <c r="D154">
        <v>28.48</v>
      </c>
      <c r="E154">
        <v>29.08</v>
      </c>
      <c r="H154">
        <v>45</v>
      </c>
      <c r="I154">
        <v>60</v>
      </c>
      <c r="J154">
        <v>60.15</v>
      </c>
      <c r="K154">
        <v>64.03</v>
      </c>
    </row>
    <row r="155" spans="2:11" x14ac:dyDescent="0.3">
      <c r="B155">
        <v>46</v>
      </c>
      <c r="C155">
        <v>9</v>
      </c>
      <c r="D155">
        <v>40.69</v>
      </c>
      <c r="E155">
        <v>41.44</v>
      </c>
      <c r="H155">
        <v>46</v>
      </c>
      <c r="I155">
        <v>4</v>
      </c>
      <c r="J155">
        <v>39.369999999999997</v>
      </c>
      <c r="K155">
        <v>40.25</v>
      </c>
    </row>
    <row r="156" spans="2:11" x14ac:dyDescent="0.3">
      <c r="B156">
        <v>46</v>
      </c>
      <c r="C156">
        <v>18</v>
      </c>
      <c r="D156">
        <v>49.46</v>
      </c>
      <c r="E156">
        <v>51.84</v>
      </c>
      <c r="H156">
        <v>46</v>
      </c>
      <c r="I156">
        <v>9</v>
      </c>
      <c r="J156">
        <v>42.36</v>
      </c>
      <c r="K156">
        <v>43.43</v>
      </c>
    </row>
    <row r="157" spans="2:11" x14ac:dyDescent="0.3">
      <c r="B157">
        <v>46</v>
      </c>
      <c r="C157">
        <v>27</v>
      </c>
      <c r="D157">
        <v>52.69</v>
      </c>
      <c r="E157">
        <v>55.61</v>
      </c>
      <c r="H157">
        <v>46</v>
      </c>
      <c r="I157">
        <v>18</v>
      </c>
      <c r="J157">
        <v>50.1</v>
      </c>
      <c r="K157">
        <v>52.61</v>
      </c>
    </row>
    <row r="158" spans="2:11" x14ac:dyDescent="0.3">
      <c r="B158">
        <v>46</v>
      </c>
      <c r="C158">
        <v>48</v>
      </c>
      <c r="D158">
        <v>59.47</v>
      </c>
      <c r="E158">
        <v>63.24</v>
      </c>
      <c r="H158">
        <v>46</v>
      </c>
      <c r="I158">
        <v>27</v>
      </c>
      <c r="J158">
        <v>54.01</v>
      </c>
      <c r="K158">
        <v>57.13</v>
      </c>
    </row>
    <row r="159" spans="2:11" x14ac:dyDescent="0.3">
      <c r="B159">
        <v>46</v>
      </c>
      <c r="C159">
        <v>60</v>
      </c>
      <c r="D159">
        <v>58.81</v>
      </c>
      <c r="E159">
        <v>62.45</v>
      </c>
      <c r="H159">
        <v>46</v>
      </c>
      <c r="I159">
        <v>48</v>
      </c>
      <c r="J159">
        <v>59.47</v>
      </c>
      <c r="K159">
        <v>63.24</v>
      </c>
    </row>
    <row r="160" spans="2:11" x14ac:dyDescent="0.3">
      <c r="B160">
        <v>47</v>
      </c>
      <c r="C160">
        <v>4</v>
      </c>
      <c r="D160">
        <v>28.93</v>
      </c>
      <c r="E160">
        <v>29.33</v>
      </c>
      <c r="H160">
        <v>46</v>
      </c>
      <c r="I160">
        <v>60</v>
      </c>
      <c r="J160">
        <v>58.81</v>
      </c>
      <c r="K160">
        <v>62.45</v>
      </c>
    </row>
    <row r="161" spans="2:11" x14ac:dyDescent="0.3">
      <c r="B161">
        <v>47</v>
      </c>
      <c r="C161">
        <v>9</v>
      </c>
      <c r="D161">
        <v>41</v>
      </c>
      <c r="E161">
        <v>41.53</v>
      </c>
      <c r="H161">
        <v>47</v>
      </c>
      <c r="I161">
        <v>7</v>
      </c>
      <c r="J161">
        <v>39.67</v>
      </c>
      <c r="K161">
        <v>40.33</v>
      </c>
    </row>
    <row r="162" spans="2:11" x14ac:dyDescent="0.3">
      <c r="B162">
        <v>47</v>
      </c>
      <c r="C162">
        <v>18</v>
      </c>
      <c r="D162">
        <v>49.47</v>
      </c>
      <c r="E162">
        <v>51.67</v>
      </c>
      <c r="H162">
        <v>47</v>
      </c>
      <c r="I162">
        <v>9</v>
      </c>
      <c r="J162">
        <v>42.6</v>
      </c>
      <c r="K162">
        <v>43.47</v>
      </c>
    </row>
    <row r="163" spans="2:11" x14ac:dyDescent="0.3">
      <c r="B163">
        <v>47</v>
      </c>
      <c r="C163">
        <v>27</v>
      </c>
      <c r="D163">
        <v>52.47</v>
      </c>
      <c r="E163">
        <v>55.2</v>
      </c>
      <c r="H163">
        <v>47</v>
      </c>
      <c r="I163">
        <v>18</v>
      </c>
      <c r="J163">
        <v>50.07</v>
      </c>
      <c r="K163">
        <v>52.4</v>
      </c>
    </row>
    <row r="164" spans="2:11" x14ac:dyDescent="0.3">
      <c r="B164">
        <v>47</v>
      </c>
      <c r="C164">
        <v>48</v>
      </c>
      <c r="D164">
        <v>58.4</v>
      </c>
      <c r="E164">
        <v>61.93</v>
      </c>
      <c r="H164">
        <v>47</v>
      </c>
      <c r="I164">
        <v>27</v>
      </c>
      <c r="J164">
        <v>53.67</v>
      </c>
      <c r="K164">
        <v>56.6</v>
      </c>
    </row>
    <row r="165" spans="2:11" x14ac:dyDescent="0.3">
      <c r="B165">
        <v>47</v>
      </c>
      <c r="C165">
        <v>60</v>
      </c>
      <c r="D165">
        <v>57.47</v>
      </c>
      <c r="E165">
        <v>60.87</v>
      </c>
      <c r="H165">
        <v>47</v>
      </c>
      <c r="I165">
        <v>48</v>
      </c>
      <c r="J165">
        <v>58.4</v>
      </c>
      <c r="K165">
        <v>61.93</v>
      </c>
    </row>
    <row r="166" spans="2:11" x14ac:dyDescent="0.3">
      <c r="B166">
        <v>48</v>
      </c>
      <c r="C166">
        <v>4</v>
      </c>
      <c r="D166">
        <v>28.39</v>
      </c>
      <c r="E166">
        <v>28.63</v>
      </c>
      <c r="H166">
        <v>47</v>
      </c>
      <c r="I166">
        <v>60</v>
      </c>
      <c r="J166">
        <v>57.47</v>
      </c>
      <c r="K166">
        <v>60.87</v>
      </c>
    </row>
    <row r="167" spans="2:11" x14ac:dyDescent="0.3">
      <c r="B167">
        <v>48</v>
      </c>
      <c r="C167">
        <v>9</v>
      </c>
      <c r="D167">
        <v>39.86</v>
      </c>
      <c r="E167">
        <v>40.24</v>
      </c>
      <c r="H167">
        <v>48</v>
      </c>
      <c r="I167">
        <v>4</v>
      </c>
      <c r="J167">
        <v>38.61</v>
      </c>
      <c r="K167">
        <v>39.11</v>
      </c>
    </row>
    <row r="168" spans="2:11" x14ac:dyDescent="0.3">
      <c r="B168">
        <v>48</v>
      </c>
      <c r="C168">
        <v>18</v>
      </c>
      <c r="D168">
        <v>47.67</v>
      </c>
      <c r="E168">
        <v>49.65</v>
      </c>
      <c r="H168">
        <v>48</v>
      </c>
      <c r="I168">
        <v>9</v>
      </c>
      <c r="J168">
        <v>41.37</v>
      </c>
      <c r="K168">
        <v>42.07</v>
      </c>
    </row>
    <row r="169" spans="2:11" x14ac:dyDescent="0.3">
      <c r="B169">
        <v>48</v>
      </c>
      <c r="C169">
        <v>27</v>
      </c>
      <c r="D169">
        <v>50.21</v>
      </c>
      <c r="E169">
        <v>52.69</v>
      </c>
      <c r="H169">
        <v>48</v>
      </c>
      <c r="I169">
        <v>18</v>
      </c>
      <c r="J169">
        <v>48.23</v>
      </c>
      <c r="K169">
        <v>50.33</v>
      </c>
    </row>
    <row r="170" spans="2:11" x14ac:dyDescent="0.3">
      <c r="B170">
        <v>48</v>
      </c>
      <c r="C170">
        <v>48</v>
      </c>
      <c r="D170">
        <v>54.93</v>
      </c>
      <c r="E170">
        <v>58.15</v>
      </c>
      <c r="H170">
        <v>48</v>
      </c>
      <c r="I170">
        <v>27</v>
      </c>
      <c r="J170">
        <v>51.23</v>
      </c>
      <c r="K170">
        <v>53.9</v>
      </c>
    </row>
    <row r="171" spans="2:11" x14ac:dyDescent="0.3">
      <c r="B171">
        <v>48</v>
      </c>
      <c r="C171">
        <v>60</v>
      </c>
      <c r="D171">
        <v>53.53</v>
      </c>
      <c r="E171">
        <v>56.61</v>
      </c>
      <c r="H171">
        <v>48</v>
      </c>
      <c r="I171">
        <v>48</v>
      </c>
      <c r="J171">
        <v>54.93</v>
      </c>
      <c r="K171">
        <v>58.15</v>
      </c>
    </row>
    <row r="172" spans="2:11" x14ac:dyDescent="0.3">
      <c r="B172">
        <v>49</v>
      </c>
      <c r="C172">
        <v>4</v>
      </c>
      <c r="D172">
        <v>27.84</v>
      </c>
      <c r="E172">
        <v>27.93</v>
      </c>
      <c r="H172">
        <v>48</v>
      </c>
      <c r="I172">
        <v>60</v>
      </c>
      <c r="J172">
        <v>53.53</v>
      </c>
      <c r="K172">
        <v>56.61</v>
      </c>
    </row>
    <row r="173" spans="2:11" x14ac:dyDescent="0.3">
      <c r="B173">
        <v>49</v>
      </c>
      <c r="C173">
        <v>9</v>
      </c>
      <c r="D173">
        <v>38.72</v>
      </c>
      <c r="E173">
        <v>38.950000000000003</v>
      </c>
      <c r="H173">
        <v>49</v>
      </c>
      <c r="I173">
        <v>4</v>
      </c>
      <c r="J173">
        <v>37.549999999999997</v>
      </c>
      <c r="K173">
        <v>37.89</v>
      </c>
    </row>
    <row r="174" spans="2:11" x14ac:dyDescent="0.3">
      <c r="B174">
        <v>49</v>
      </c>
      <c r="C174">
        <v>18</v>
      </c>
      <c r="D174">
        <v>45.87</v>
      </c>
      <c r="E174">
        <v>47.63</v>
      </c>
      <c r="H174">
        <v>49</v>
      </c>
      <c r="I174">
        <v>9</v>
      </c>
      <c r="J174">
        <v>40.130000000000003</v>
      </c>
      <c r="K174">
        <v>40.67</v>
      </c>
    </row>
    <row r="175" spans="2:11" x14ac:dyDescent="0.3">
      <c r="B175">
        <v>49</v>
      </c>
      <c r="C175">
        <v>27</v>
      </c>
      <c r="D175">
        <v>47.96</v>
      </c>
      <c r="E175">
        <v>50.17</v>
      </c>
      <c r="H175">
        <v>49</v>
      </c>
      <c r="I175">
        <v>18</v>
      </c>
      <c r="J175">
        <v>46.4</v>
      </c>
      <c r="K175">
        <v>48.27</v>
      </c>
    </row>
    <row r="176" spans="2:11" x14ac:dyDescent="0.3">
      <c r="B176">
        <v>49</v>
      </c>
      <c r="C176">
        <v>48</v>
      </c>
      <c r="D176">
        <v>51.45</v>
      </c>
      <c r="E176">
        <v>54.36</v>
      </c>
      <c r="H176">
        <v>49</v>
      </c>
      <c r="I176">
        <v>27</v>
      </c>
      <c r="J176">
        <v>48.8</v>
      </c>
      <c r="K176">
        <v>51.2</v>
      </c>
    </row>
    <row r="177" spans="2:11" x14ac:dyDescent="0.3">
      <c r="B177">
        <v>49</v>
      </c>
      <c r="C177">
        <v>60</v>
      </c>
      <c r="D177">
        <v>49.59</v>
      </c>
      <c r="E177">
        <v>52.35</v>
      </c>
      <c r="H177">
        <v>49</v>
      </c>
      <c r="I177">
        <v>48</v>
      </c>
      <c r="J177">
        <v>51.45</v>
      </c>
      <c r="K177">
        <v>54.36</v>
      </c>
    </row>
    <row r="178" spans="2:11" x14ac:dyDescent="0.3">
      <c r="B178">
        <v>50</v>
      </c>
      <c r="C178">
        <v>4</v>
      </c>
      <c r="D178">
        <v>27.29</v>
      </c>
      <c r="E178">
        <v>27.23</v>
      </c>
      <c r="H178">
        <v>49</v>
      </c>
      <c r="I178">
        <v>60</v>
      </c>
      <c r="J178">
        <v>49.59</v>
      </c>
      <c r="K178">
        <v>52.35</v>
      </c>
    </row>
    <row r="179" spans="2:11" x14ac:dyDescent="0.3">
      <c r="B179">
        <v>50</v>
      </c>
      <c r="C179">
        <v>9</v>
      </c>
      <c r="D179">
        <v>37.58</v>
      </c>
      <c r="E179">
        <v>37.65</v>
      </c>
      <c r="H179">
        <v>50</v>
      </c>
      <c r="I179">
        <v>7</v>
      </c>
      <c r="J179">
        <v>36.49</v>
      </c>
      <c r="K179">
        <v>36.67</v>
      </c>
    </row>
    <row r="180" spans="2:11" x14ac:dyDescent="0.3">
      <c r="B180">
        <v>50</v>
      </c>
      <c r="C180">
        <v>18</v>
      </c>
      <c r="D180">
        <v>44.07</v>
      </c>
      <c r="E180">
        <v>45.61</v>
      </c>
      <c r="H180">
        <v>50</v>
      </c>
      <c r="I180">
        <v>9</v>
      </c>
      <c r="J180">
        <v>38.9</v>
      </c>
      <c r="K180">
        <v>39.270000000000003</v>
      </c>
    </row>
    <row r="181" spans="2:11" x14ac:dyDescent="0.3">
      <c r="B181">
        <v>50</v>
      </c>
      <c r="C181">
        <v>27</v>
      </c>
      <c r="D181">
        <v>45.71</v>
      </c>
      <c r="E181">
        <v>47.66</v>
      </c>
      <c r="H181">
        <v>50</v>
      </c>
      <c r="I181">
        <v>18</v>
      </c>
      <c r="J181">
        <v>44.57</v>
      </c>
      <c r="K181">
        <v>46.2</v>
      </c>
    </row>
    <row r="182" spans="2:11" x14ac:dyDescent="0.3">
      <c r="B182">
        <v>50</v>
      </c>
      <c r="C182">
        <v>48</v>
      </c>
      <c r="D182">
        <v>47.98</v>
      </c>
      <c r="E182">
        <v>50.57</v>
      </c>
      <c r="H182">
        <v>50</v>
      </c>
      <c r="I182">
        <v>27</v>
      </c>
      <c r="J182">
        <v>46.37</v>
      </c>
      <c r="K182">
        <v>48.5</v>
      </c>
    </row>
    <row r="183" spans="2:11" x14ac:dyDescent="0.3">
      <c r="B183">
        <v>50</v>
      </c>
      <c r="C183">
        <v>60</v>
      </c>
      <c r="D183">
        <v>45.65</v>
      </c>
      <c r="E183">
        <v>48.09</v>
      </c>
      <c r="H183">
        <v>50</v>
      </c>
      <c r="I183">
        <v>48</v>
      </c>
      <c r="J183">
        <v>47.98</v>
      </c>
      <c r="K183">
        <v>50.57</v>
      </c>
    </row>
    <row r="184" spans="2:11" x14ac:dyDescent="0.3">
      <c r="H184">
        <v>50</v>
      </c>
      <c r="I184">
        <v>60</v>
      </c>
      <c r="J184">
        <v>45.65</v>
      </c>
      <c r="K184">
        <v>48.09</v>
      </c>
    </row>
  </sheetData>
  <mergeCells count="3">
    <mergeCell ref="C10:J10"/>
    <mergeCell ref="C22:K22"/>
    <mergeCell ref="M22:Q22"/>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3E7F3-CD3D-4234-BBB8-EF5BCEC129EC}">
  <sheetPr>
    <tabColor theme="9" tint="0.59999389629810485"/>
  </sheetPr>
  <dimension ref="A1:X184"/>
  <sheetViews>
    <sheetView zoomScaleNormal="100" workbookViewId="0">
      <selection activeCell="N47" sqref="N47"/>
    </sheetView>
  </sheetViews>
  <sheetFormatPr defaultRowHeight="14.4" x14ac:dyDescent="0.3"/>
  <cols>
    <col min="16" max="16" width="11.44140625" bestFit="1" customWidth="1"/>
  </cols>
  <sheetData>
    <row r="1" spans="1:12" ht="15" thickBot="1" x14ac:dyDescent="0.35">
      <c r="A1" t="s">
        <v>878</v>
      </c>
      <c r="K1" s="10" t="s">
        <v>16</v>
      </c>
      <c r="L1" s="9"/>
    </row>
    <row r="2" spans="1:12" x14ac:dyDescent="0.3">
      <c r="K2" s="8" t="s">
        <v>15</v>
      </c>
      <c r="L2" s="8"/>
    </row>
    <row r="3" spans="1:12" ht="15" thickBot="1" x14ac:dyDescent="0.35">
      <c r="K3" s="7" t="s">
        <v>14</v>
      </c>
      <c r="L3" s="7"/>
    </row>
    <row r="4" spans="1:12" ht="15.6" thickTop="1" thickBot="1" x14ac:dyDescent="0.35">
      <c r="K4" s="6" t="s">
        <v>13</v>
      </c>
      <c r="L4" s="6"/>
    </row>
    <row r="5" spans="1:12" ht="15" thickTop="1" x14ac:dyDescent="0.3">
      <c r="K5" s="5" t="s">
        <v>12</v>
      </c>
      <c r="L5" s="4"/>
    </row>
    <row r="9" spans="1:12" ht="15" thickBot="1" x14ac:dyDescent="0.35"/>
    <row r="10" spans="1:12" ht="15" thickBot="1" x14ac:dyDescent="0.35">
      <c r="C10" s="399" t="s">
        <v>3</v>
      </c>
      <c r="D10" s="400"/>
      <c r="E10" s="400"/>
      <c r="F10" s="400"/>
      <c r="G10" s="400"/>
      <c r="H10" s="400"/>
      <c r="I10" s="400"/>
      <c r="J10" s="401"/>
    </row>
    <row r="12" spans="1:12" x14ac:dyDescent="0.3">
      <c r="D12" t="s">
        <v>877</v>
      </c>
    </row>
    <row r="13" spans="1:12" x14ac:dyDescent="0.3">
      <c r="D13" t="s">
        <v>876</v>
      </c>
    </row>
    <row r="14" spans="1:12" x14ac:dyDescent="0.3">
      <c r="C14" s="61">
        <v>1</v>
      </c>
      <c r="D14" t="s">
        <v>875</v>
      </c>
    </row>
    <row r="21" spans="2:17" ht="15" thickBot="1" x14ac:dyDescent="0.35"/>
    <row r="22" spans="2:17" ht="15" thickBot="1" x14ac:dyDescent="0.35">
      <c r="C22" s="399" t="s">
        <v>10</v>
      </c>
      <c r="D22" s="400"/>
      <c r="E22" s="400"/>
      <c r="F22" s="400"/>
      <c r="G22" s="400"/>
      <c r="H22" s="400"/>
      <c r="I22" s="400"/>
      <c r="J22" s="400"/>
      <c r="K22" s="401"/>
      <c r="M22" s="399" t="s">
        <v>0</v>
      </c>
      <c r="N22" s="400"/>
      <c r="O22" s="400"/>
      <c r="P22" s="400"/>
      <c r="Q22" s="401"/>
    </row>
    <row r="24" spans="2:17" x14ac:dyDescent="0.3">
      <c r="C24" t="s">
        <v>132</v>
      </c>
      <c r="D24" t="s">
        <v>7</v>
      </c>
      <c r="E24" t="s">
        <v>155</v>
      </c>
      <c r="F24" t="s">
        <v>874</v>
      </c>
      <c r="G24" t="s">
        <v>508</v>
      </c>
      <c r="H24" t="s">
        <v>873</v>
      </c>
      <c r="I24" t="s">
        <v>812</v>
      </c>
      <c r="J24" t="s">
        <v>872</v>
      </c>
      <c r="K24" t="s">
        <v>871</v>
      </c>
      <c r="M24" s="123" t="s">
        <v>1041</v>
      </c>
    </row>
    <row r="25" spans="2:17" x14ac:dyDescent="0.3">
      <c r="C25" t="s">
        <v>131</v>
      </c>
      <c r="D25">
        <v>35</v>
      </c>
      <c r="E25" t="s">
        <v>868</v>
      </c>
      <c r="F25" s="283">
        <v>40330</v>
      </c>
      <c r="G25" t="s">
        <v>869</v>
      </c>
      <c r="H25">
        <v>60</v>
      </c>
      <c r="I25" t="s">
        <v>794</v>
      </c>
      <c r="J25" s="282">
        <v>5</v>
      </c>
      <c r="K25" s="281">
        <v>4000</v>
      </c>
      <c r="M25" s="311" t="s">
        <v>1040</v>
      </c>
    </row>
    <row r="26" spans="2:17" x14ac:dyDescent="0.3">
      <c r="C26" t="s">
        <v>130</v>
      </c>
      <c r="D26">
        <v>28</v>
      </c>
      <c r="E26" t="s">
        <v>870</v>
      </c>
      <c r="F26" s="283">
        <v>42005</v>
      </c>
      <c r="G26" t="s">
        <v>869</v>
      </c>
      <c r="H26">
        <v>4</v>
      </c>
      <c r="I26" t="s">
        <v>804</v>
      </c>
      <c r="J26" s="282">
        <v>3.5</v>
      </c>
      <c r="K26" s="281">
        <v>2500</v>
      </c>
      <c r="M26" s="311" t="s">
        <v>1039</v>
      </c>
    </row>
    <row r="27" spans="2:17" x14ac:dyDescent="0.3">
      <c r="C27" t="s">
        <v>131</v>
      </c>
      <c r="D27">
        <v>37</v>
      </c>
      <c r="E27" t="s">
        <v>868</v>
      </c>
      <c r="F27" s="283">
        <v>40909</v>
      </c>
      <c r="G27" t="s">
        <v>869</v>
      </c>
      <c r="H27">
        <v>48</v>
      </c>
      <c r="I27" t="s">
        <v>804</v>
      </c>
      <c r="J27" s="282">
        <v>6</v>
      </c>
      <c r="K27" s="281">
        <v>3000</v>
      </c>
    </row>
    <row r="28" spans="2:17" x14ac:dyDescent="0.3">
      <c r="C28" t="s">
        <v>130</v>
      </c>
      <c r="D28">
        <v>44</v>
      </c>
      <c r="E28" t="s">
        <v>868</v>
      </c>
      <c r="F28" s="283">
        <v>43831</v>
      </c>
      <c r="G28" t="s">
        <v>867</v>
      </c>
      <c r="H28" t="s">
        <v>242</v>
      </c>
      <c r="I28" t="s">
        <v>866</v>
      </c>
      <c r="J28" s="282">
        <v>4.5</v>
      </c>
      <c r="K28" s="281">
        <v>1500</v>
      </c>
    </row>
    <row r="30" spans="2:17" x14ac:dyDescent="0.3">
      <c r="N30" t="s">
        <v>1038</v>
      </c>
      <c r="O30" t="s">
        <v>1037</v>
      </c>
      <c r="P30" t="s">
        <v>1036</v>
      </c>
    </row>
    <row r="31" spans="2:17" x14ac:dyDescent="0.3">
      <c r="M31" t="s">
        <v>1031</v>
      </c>
      <c r="N31">
        <f>D93</f>
        <v>70.84</v>
      </c>
      <c r="O31" s="281">
        <f>K25/$C$14</f>
        <v>4000</v>
      </c>
      <c r="P31" s="4">
        <f>N31*O31</f>
        <v>283360</v>
      </c>
    </row>
    <row r="32" spans="2:17" x14ac:dyDescent="0.3">
      <c r="B32" t="s">
        <v>865</v>
      </c>
      <c r="M32" t="s">
        <v>1029</v>
      </c>
      <c r="N32">
        <f>K47</f>
        <v>31.13</v>
      </c>
      <c r="O32" s="281">
        <f>K26/$C$14</f>
        <v>2500</v>
      </c>
      <c r="P32" s="4">
        <f>N32*O32</f>
        <v>77825</v>
      </c>
    </row>
    <row r="33" spans="2:24" x14ac:dyDescent="0.3">
      <c r="B33" t="s">
        <v>863</v>
      </c>
      <c r="H33" t="s">
        <v>864</v>
      </c>
      <c r="M33" t="s">
        <v>1028</v>
      </c>
      <c r="N33">
        <f>D104</f>
        <v>69.13</v>
      </c>
      <c r="O33" s="281">
        <f>K27/$C$14</f>
        <v>3000</v>
      </c>
      <c r="P33" s="4">
        <f>N33*O33</f>
        <v>207390</v>
      </c>
    </row>
    <row r="34" spans="2:24" x14ac:dyDescent="0.3">
      <c r="B34" t="s">
        <v>861</v>
      </c>
      <c r="H34" t="s">
        <v>863</v>
      </c>
      <c r="M34" t="s">
        <v>1025</v>
      </c>
      <c r="N34">
        <v>0</v>
      </c>
      <c r="O34" s="281">
        <f>K28/$C$14</f>
        <v>1500</v>
      </c>
      <c r="P34" s="4">
        <f>N34*O34</f>
        <v>0</v>
      </c>
      <c r="Q34" s="8" t="s">
        <v>1035</v>
      </c>
      <c r="R34" s="8"/>
      <c r="S34" s="8"/>
      <c r="T34" s="8"/>
      <c r="U34" s="8"/>
      <c r="V34" s="8"/>
      <c r="W34" s="8"/>
      <c r="X34" s="8"/>
    </row>
    <row r="35" spans="2:24" x14ac:dyDescent="0.3">
      <c r="B35" t="s">
        <v>862</v>
      </c>
      <c r="H35" t="s">
        <v>861</v>
      </c>
    </row>
    <row r="36" spans="2:24" x14ac:dyDescent="0.3">
      <c r="B36" t="s">
        <v>859</v>
      </c>
      <c r="H36" t="s">
        <v>860</v>
      </c>
      <c r="N36" t="s">
        <v>1034</v>
      </c>
      <c r="O36" t="s">
        <v>1033</v>
      </c>
      <c r="P36" t="s">
        <v>1032</v>
      </c>
    </row>
    <row r="37" spans="2:24" x14ac:dyDescent="0.3">
      <c r="H37" t="s">
        <v>859</v>
      </c>
      <c r="M37" t="s">
        <v>1031</v>
      </c>
      <c r="N37" t="s">
        <v>1030</v>
      </c>
      <c r="O37" s="61">
        <v>5</v>
      </c>
      <c r="P37" s="4">
        <v>0</v>
      </c>
    </row>
    <row r="38" spans="2:24" x14ac:dyDescent="0.3">
      <c r="M38" t="s">
        <v>1029</v>
      </c>
      <c r="N38" t="s">
        <v>1027</v>
      </c>
      <c r="O38" s="61">
        <v>3.5</v>
      </c>
      <c r="P38" s="4">
        <f>O38*(12-1)</f>
        <v>38.5</v>
      </c>
      <c r="Q38" s="8" t="s">
        <v>1026</v>
      </c>
      <c r="R38" s="8"/>
      <c r="S38" s="8"/>
      <c r="T38" s="8"/>
      <c r="U38" s="8"/>
      <c r="V38" s="8"/>
      <c r="W38" s="8"/>
      <c r="X38" s="8"/>
    </row>
    <row r="39" spans="2:24" x14ac:dyDescent="0.3">
      <c r="B39" t="s">
        <v>7</v>
      </c>
      <c r="C39" t="s">
        <v>858</v>
      </c>
      <c r="D39" t="s">
        <v>131</v>
      </c>
      <c r="E39" t="s">
        <v>130</v>
      </c>
      <c r="M39" t="s">
        <v>1028</v>
      </c>
      <c r="N39" t="s">
        <v>1027</v>
      </c>
      <c r="O39" s="61">
        <v>6</v>
      </c>
      <c r="P39" s="4">
        <f>O39*(12-1)</f>
        <v>66</v>
      </c>
      <c r="Q39" s="8" t="s">
        <v>1026</v>
      </c>
      <c r="R39" s="8"/>
      <c r="S39" s="8"/>
      <c r="T39" s="8"/>
      <c r="U39" s="8"/>
      <c r="V39" s="8"/>
      <c r="W39" s="8"/>
      <c r="X39" s="8"/>
    </row>
    <row r="40" spans="2:24" x14ac:dyDescent="0.3">
      <c r="B40">
        <v>27</v>
      </c>
      <c r="C40">
        <v>4</v>
      </c>
      <c r="D40">
        <v>16.47</v>
      </c>
      <c r="E40">
        <v>18.600000000000001</v>
      </c>
      <c r="H40" t="s">
        <v>7</v>
      </c>
      <c r="I40" t="s">
        <v>858</v>
      </c>
      <c r="J40" t="s">
        <v>131</v>
      </c>
      <c r="K40" t="s">
        <v>130</v>
      </c>
      <c r="M40" t="s">
        <v>1025</v>
      </c>
      <c r="N40" t="s">
        <v>1024</v>
      </c>
      <c r="O40" s="61">
        <v>4.5</v>
      </c>
      <c r="P40" s="4">
        <f>O40*(12*5-(12*2+1))</f>
        <v>157.5</v>
      </c>
    </row>
    <row r="41" spans="2:24" x14ac:dyDescent="0.3">
      <c r="B41">
        <v>27</v>
      </c>
      <c r="C41">
        <v>9</v>
      </c>
      <c r="D41">
        <v>28.13</v>
      </c>
      <c r="E41">
        <v>30.93</v>
      </c>
      <c r="H41">
        <v>27</v>
      </c>
      <c r="I41">
        <v>7</v>
      </c>
      <c r="J41">
        <v>27.2</v>
      </c>
      <c r="K41">
        <v>30.2</v>
      </c>
    </row>
    <row r="42" spans="2:24" x14ac:dyDescent="0.3">
      <c r="B42">
        <v>27</v>
      </c>
      <c r="C42">
        <v>18</v>
      </c>
      <c r="D42">
        <v>40.4</v>
      </c>
      <c r="E42">
        <v>43.27</v>
      </c>
      <c r="H42">
        <v>27</v>
      </c>
      <c r="I42">
        <v>9</v>
      </c>
      <c r="J42">
        <v>30.53</v>
      </c>
      <c r="K42">
        <v>33.47</v>
      </c>
    </row>
    <row r="43" spans="2:24" x14ac:dyDescent="0.3">
      <c r="B43">
        <v>27</v>
      </c>
      <c r="C43">
        <v>27</v>
      </c>
      <c r="D43">
        <v>46.73</v>
      </c>
      <c r="E43">
        <v>49.67</v>
      </c>
      <c r="H43">
        <v>27</v>
      </c>
      <c r="I43">
        <v>18</v>
      </c>
      <c r="J43">
        <v>41.53</v>
      </c>
      <c r="K43">
        <v>44.53</v>
      </c>
    </row>
    <row r="44" spans="2:24" x14ac:dyDescent="0.3">
      <c r="B44">
        <v>27</v>
      </c>
      <c r="C44">
        <v>48</v>
      </c>
      <c r="D44">
        <v>67.069999999999993</v>
      </c>
      <c r="E44">
        <v>70.13</v>
      </c>
      <c r="H44">
        <v>27</v>
      </c>
      <c r="I44">
        <v>27</v>
      </c>
      <c r="J44">
        <v>49.73</v>
      </c>
      <c r="K44">
        <v>52.8</v>
      </c>
    </row>
    <row r="45" spans="2:24" x14ac:dyDescent="0.3">
      <c r="B45">
        <v>27</v>
      </c>
      <c r="C45">
        <v>60</v>
      </c>
      <c r="D45">
        <v>70.73</v>
      </c>
      <c r="E45">
        <v>73.47</v>
      </c>
      <c r="H45">
        <v>27</v>
      </c>
      <c r="I45">
        <v>48</v>
      </c>
      <c r="J45">
        <v>67.069999999999993</v>
      </c>
      <c r="K45">
        <v>70.13</v>
      </c>
    </row>
    <row r="46" spans="2:24" x14ac:dyDescent="0.3">
      <c r="B46">
        <v>28</v>
      </c>
      <c r="C46">
        <v>4</v>
      </c>
      <c r="D46">
        <v>17.260000000000002</v>
      </c>
      <c r="E46">
        <v>19.420000000000002</v>
      </c>
      <c r="H46">
        <v>27</v>
      </c>
      <c r="I46">
        <v>60</v>
      </c>
      <c r="J46">
        <v>70.73</v>
      </c>
      <c r="K46">
        <v>73.47</v>
      </c>
    </row>
    <row r="47" spans="2:24" x14ac:dyDescent="0.3">
      <c r="B47">
        <v>28</v>
      </c>
      <c r="C47">
        <v>9</v>
      </c>
      <c r="D47">
        <v>29.11</v>
      </c>
      <c r="E47">
        <v>31.9</v>
      </c>
      <c r="H47">
        <v>28</v>
      </c>
      <c r="I47">
        <v>4</v>
      </c>
      <c r="J47">
        <v>28.15</v>
      </c>
      <c r="K47">
        <v>31.13</v>
      </c>
    </row>
    <row r="48" spans="2:24" x14ac:dyDescent="0.3">
      <c r="B48">
        <v>28</v>
      </c>
      <c r="C48">
        <v>18</v>
      </c>
      <c r="D48">
        <v>41.3</v>
      </c>
      <c r="E48">
        <v>44.28</v>
      </c>
      <c r="H48">
        <v>28</v>
      </c>
      <c r="I48">
        <v>9</v>
      </c>
      <c r="J48">
        <v>31.5</v>
      </c>
      <c r="K48">
        <v>34.43</v>
      </c>
    </row>
    <row r="49" spans="2:11" x14ac:dyDescent="0.3">
      <c r="B49">
        <v>28</v>
      </c>
      <c r="C49">
        <v>27</v>
      </c>
      <c r="D49">
        <v>47.53</v>
      </c>
      <c r="E49">
        <v>50.63</v>
      </c>
      <c r="H49">
        <v>28</v>
      </c>
      <c r="I49">
        <v>18</v>
      </c>
      <c r="J49">
        <v>42.42</v>
      </c>
      <c r="K49">
        <v>45.53</v>
      </c>
    </row>
    <row r="50" spans="2:11" x14ac:dyDescent="0.3">
      <c r="B50">
        <v>28</v>
      </c>
      <c r="C50">
        <v>48</v>
      </c>
      <c r="D50">
        <v>67.27</v>
      </c>
      <c r="E50">
        <v>70.62</v>
      </c>
      <c r="H50">
        <v>28</v>
      </c>
      <c r="I50">
        <v>27</v>
      </c>
      <c r="J50">
        <v>50.47</v>
      </c>
      <c r="K50">
        <v>53.71</v>
      </c>
    </row>
    <row r="51" spans="2:11" x14ac:dyDescent="0.3">
      <c r="B51">
        <v>28</v>
      </c>
      <c r="C51">
        <v>60</v>
      </c>
      <c r="D51">
        <v>70.75</v>
      </c>
      <c r="E51">
        <v>73.790000000000006</v>
      </c>
      <c r="H51">
        <v>28</v>
      </c>
      <c r="I51">
        <v>48</v>
      </c>
      <c r="J51">
        <v>67.27</v>
      </c>
      <c r="K51">
        <v>70.62</v>
      </c>
    </row>
    <row r="52" spans="2:11" x14ac:dyDescent="0.3">
      <c r="B52">
        <v>29</v>
      </c>
      <c r="C52">
        <v>4</v>
      </c>
      <c r="D52">
        <v>18.05</v>
      </c>
      <c r="E52">
        <v>20.239999999999998</v>
      </c>
      <c r="H52">
        <v>28</v>
      </c>
      <c r="I52">
        <v>60</v>
      </c>
      <c r="J52">
        <v>70.75</v>
      </c>
      <c r="K52">
        <v>73.790000000000006</v>
      </c>
    </row>
    <row r="53" spans="2:11" x14ac:dyDescent="0.3">
      <c r="B53">
        <v>29</v>
      </c>
      <c r="C53">
        <v>9</v>
      </c>
      <c r="D53">
        <v>30.09</v>
      </c>
      <c r="E53">
        <v>32.869999999999997</v>
      </c>
      <c r="H53">
        <v>29</v>
      </c>
      <c r="I53">
        <v>4</v>
      </c>
      <c r="J53">
        <v>29.11</v>
      </c>
      <c r="K53">
        <v>32.07</v>
      </c>
    </row>
    <row r="54" spans="2:11" x14ac:dyDescent="0.3">
      <c r="B54">
        <v>29</v>
      </c>
      <c r="C54">
        <v>18</v>
      </c>
      <c r="D54">
        <v>42.2</v>
      </c>
      <c r="E54">
        <v>45.29</v>
      </c>
      <c r="H54">
        <v>29</v>
      </c>
      <c r="I54">
        <v>9</v>
      </c>
      <c r="J54">
        <v>32.47</v>
      </c>
      <c r="K54">
        <v>35.4</v>
      </c>
    </row>
    <row r="55" spans="2:11" x14ac:dyDescent="0.3">
      <c r="B55">
        <v>29</v>
      </c>
      <c r="C55">
        <v>27</v>
      </c>
      <c r="D55">
        <v>48.32</v>
      </c>
      <c r="E55">
        <v>51.59</v>
      </c>
      <c r="H55">
        <v>29</v>
      </c>
      <c r="I55">
        <v>18</v>
      </c>
      <c r="J55">
        <v>43.31</v>
      </c>
      <c r="K55">
        <v>46.52</v>
      </c>
    </row>
    <row r="56" spans="2:11" x14ac:dyDescent="0.3">
      <c r="B56">
        <v>29</v>
      </c>
      <c r="C56">
        <v>48</v>
      </c>
      <c r="D56">
        <v>67.48</v>
      </c>
      <c r="E56">
        <v>71.11</v>
      </c>
      <c r="H56">
        <v>29</v>
      </c>
      <c r="I56">
        <v>27</v>
      </c>
      <c r="J56">
        <v>51.2</v>
      </c>
      <c r="K56">
        <v>54.63</v>
      </c>
    </row>
    <row r="57" spans="2:11" x14ac:dyDescent="0.3">
      <c r="B57">
        <v>29</v>
      </c>
      <c r="C57">
        <v>60</v>
      </c>
      <c r="D57">
        <v>70.760000000000005</v>
      </c>
      <c r="E57">
        <v>74.11</v>
      </c>
      <c r="H57">
        <v>29</v>
      </c>
      <c r="I57">
        <v>48</v>
      </c>
      <c r="J57">
        <v>67.48</v>
      </c>
      <c r="K57">
        <v>71.11</v>
      </c>
    </row>
    <row r="58" spans="2:11" x14ac:dyDescent="0.3">
      <c r="B58">
        <v>30</v>
      </c>
      <c r="C58">
        <v>4</v>
      </c>
      <c r="D58">
        <v>18.850000000000001</v>
      </c>
      <c r="E58">
        <v>21.06</v>
      </c>
      <c r="H58">
        <v>29</v>
      </c>
      <c r="I58">
        <v>60</v>
      </c>
      <c r="J58">
        <v>70.760000000000005</v>
      </c>
      <c r="K58">
        <v>74.11</v>
      </c>
    </row>
    <row r="59" spans="2:11" x14ac:dyDescent="0.3">
      <c r="B59">
        <v>30</v>
      </c>
      <c r="C59">
        <v>9</v>
      </c>
      <c r="D59">
        <v>31.07</v>
      </c>
      <c r="E59">
        <v>33.83</v>
      </c>
      <c r="H59">
        <v>30</v>
      </c>
      <c r="I59">
        <v>7</v>
      </c>
      <c r="J59">
        <v>30.06</v>
      </c>
      <c r="K59">
        <v>33</v>
      </c>
    </row>
    <row r="60" spans="2:11" x14ac:dyDescent="0.3">
      <c r="B60">
        <v>30</v>
      </c>
      <c r="C60">
        <v>18</v>
      </c>
      <c r="D60">
        <v>43.1</v>
      </c>
      <c r="E60">
        <v>46.31</v>
      </c>
      <c r="H60">
        <v>30</v>
      </c>
      <c r="I60">
        <v>9</v>
      </c>
      <c r="J60">
        <v>33.43</v>
      </c>
      <c r="K60">
        <v>36.369999999999997</v>
      </c>
    </row>
    <row r="61" spans="2:11" x14ac:dyDescent="0.3">
      <c r="B61">
        <v>30</v>
      </c>
      <c r="C61">
        <v>27</v>
      </c>
      <c r="D61">
        <v>49.11</v>
      </c>
      <c r="E61">
        <v>52.55</v>
      </c>
      <c r="H61">
        <v>30</v>
      </c>
      <c r="I61">
        <v>18</v>
      </c>
      <c r="J61">
        <v>44.19</v>
      </c>
      <c r="K61">
        <v>47.51</v>
      </c>
    </row>
    <row r="62" spans="2:11" x14ac:dyDescent="0.3">
      <c r="B62">
        <v>30</v>
      </c>
      <c r="C62">
        <v>48</v>
      </c>
      <c r="D62">
        <v>67.69</v>
      </c>
      <c r="E62">
        <v>71.59</v>
      </c>
      <c r="H62">
        <v>30</v>
      </c>
      <c r="I62">
        <v>27</v>
      </c>
      <c r="J62">
        <v>51.93</v>
      </c>
      <c r="K62">
        <v>55.54</v>
      </c>
    </row>
    <row r="63" spans="2:11" x14ac:dyDescent="0.3">
      <c r="B63">
        <v>30</v>
      </c>
      <c r="C63">
        <v>60</v>
      </c>
      <c r="D63">
        <v>70.77</v>
      </c>
      <c r="E63">
        <v>74.430000000000007</v>
      </c>
      <c r="H63">
        <v>30</v>
      </c>
      <c r="I63">
        <v>48</v>
      </c>
      <c r="J63">
        <v>67.69</v>
      </c>
      <c r="K63">
        <v>71.59</v>
      </c>
    </row>
    <row r="64" spans="2:11" x14ac:dyDescent="0.3">
      <c r="B64">
        <v>31</v>
      </c>
      <c r="C64">
        <v>4</v>
      </c>
      <c r="D64">
        <v>19.64</v>
      </c>
      <c r="E64">
        <v>21.88</v>
      </c>
      <c r="H64">
        <v>30</v>
      </c>
      <c r="I64">
        <v>60</v>
      </c>
      <c r="J64">
        <v>70.77</v>
      </c>
      <c r="K64">
        <v>74.430000000000007</v>
      </c>
    </row>
    <row r="65" spans="2:11" x14ac:dyDescent="0.3">
      <c r="B65">
        <v>31</v>
      </c>
      <c r="C65">
        <v>9</v>
      </c>
      <c r="D65">
        <v>32.049999999999997</v>
      </c>
      <c r="E65">
        <v>34.799999999999997</v>
      </c>
      <c r="H65">
        <v>31</v>
      </c>
      <c r="I65">
        <v>4</v>
      </c>
      <c r="J65">
        <v>31.01</v>
      </c>
      <c r="K65">
        <v>33.93</v>
      </c>
    </row>
    <row r="66" spans="2:11" x14ac:dyDescent="0.3">
      <c r="B66">
        <v>31</v>
      </c>
      <c r="C66">
        <v>18</v>
      </c>
      <c r="D66">
        <v>44</v>
      </c>
      <c r="E66">
        <v>47.32</v>
      </c>
      <c r="H66">
        <v>31</v>
      </c>
      <c r="I66">
        <v>9</v>
      </c>
      <c r="J66">
        <v>34.4</v>
      </c>
      <c r="K66">
        <v>37.33</v>
      </c>
    </row>
    <row r="67" spans="2:11" x14ac:dyDescent="0.3">
      <c r="B67">
        <v>31</v>
      </c>
      <c r="C67">
        <v>27</v>
      </c>
      <c r="D67">
        <v>49.91</v>
      </c>
      <c r="E67">
        <v>53.51</v>
      </c>
      <c r="H67">
        <v>31</v>
      </c>
      <c r="I67">
        <v>18</v>
      </c>
      <c r="J67">
        <v>45.08</v>
      </c>
      <c r="K67">
        <v>48.51</v>
      </c>
    </row>
    <row r="68" spans="2:11" x14ac:dyDescent="0.3">
      <c r="B68">
        <v>31</v>
      </c>
      <c r="C68">
        <v>48</v>
      </c>
      <c r="D68">
        <v>67.89</v>
      </c>
      <c r="E68">
        <v>72.08</v>
      </c>
      <c r="H68">
        <v>31</v>
      </c>
      <c r="I68">
        <v>27</v>
      </c>
      <c r="J68">
        <v>52.67</v>
      </c>
      <c r="K68">
        <v>56.45</v>
      </c>
    </row>
    <row r="69" spans="2:11" x14ac:dyDescent="0.3">
      <c r="B69">
        <v>31</v>
      </c>
      <c r="C69">
        <v>60</v>
      </c>
      <c r="D69">
        <v>70.790000000000006</v>
      </c>
      <c r="E69">
        <v>74.75</v>
      </c>
      <c r="H69">
        <v>31</v>
      </c>
      <c r="I69">
        <v>48</v>
      </c>
      <c r="J69">
        <v>67.89</v>
      </c>
      <c r="K69">
        <v>72.08</v>
      </c>
    </row>
    <row r="70" spans="2:11" x14ac:dyDescent="0.3">
      <c r="B70">
        <v>32</v>
      </c>
      <c r="C70">
        <v>4</v>
      </c>
      <c r="D70">
        <v>20.43</v>
      </c>
      <c r="E70">
        <v>22.7</v>
      </c>
      <c r="H70">
        <v>31</v>
      </c>
      <c r="I70">
        <v>60</v>
      </c>
      <c r="J70">
        <v>70.790000000000006</v>
      </c>
      <c r="K70">
        <v>74.75</v>
      </c>
    </row>
    <row r="71" spans="2:11" x14ac:dyDescent="0.3">
      <c r="B71">
        <v>32</v>
      </c>
      <c r="C71">
        <v>9</v>
      </c>
      <c r="D71">
        <v>33.03</v>
      </c>
      <c r="E71">
        <v>35.770000000000003</v>
      </c>
      <c r="H71">
        <v>32</v>
      </c>
      <c r="I71">
        <v>4</v>
      </c>
      <c r="J71">
        <v>31.97</v>
      </c>
      <c r="K71">
        <v>34.869999999999997</v>
      </c>
    </row>
    <row r="72" spans="2:11" x14ac:dyDescent="0.3">
      <c r="B72">
        <v>32</v>
      </c>
      <c r="C72">
        <v>18</v>
      </c>
      <c r="D72">
        <v>44.9</v>
      </c>
      <c r="E72">
        <v>48.33</v>
      </c>
      <c r="H72">
        <v>32</v>
      </c>
      <c r="I72">
        <v>9</v>
      </c>
      <c r="J72">
        <v>35.369999999999997</v>
      </c>
      <c r="K72">
        <v>38.299999999999997</v>
      </c>
    </row>
    <row r="73" spans="2:11" x14ac:dyDescent="0.3">
      <c r="B73">
        <v>32</v>
      </c>
      <c r="C73">
        <v>27</v>
      </c>
      <c r="D73">
        <v>50.7</v>
      </c>
      <c r="E73">
        <v>54.47</v>
      </c>
      <c r="H73">
        <v>32</v>
      </c>
      <c r="I73">
        <v>18</v>
      </c>
      <c r="J73">
        <v>45.97</v>
      </c>
      <c r="K73">
        <v>49.5</v>
      </c>
    </row>
    <row r="74" spans="2:11" x14ac:dyDescent="0.3">
      <c r="B74">
        <v>32</v>
      </c>
      <c r="C74">
        <v>48</v>
      </c>
      <c r="D74">
        <v>68.099999999999994</v>
      </c>
      <c r="E74">
        <v>72.569999999999993</v>
      </c>
      <c r="H74">
        <v>32</v>
      </c>
      <c r="I74">
        <v>27</v>
      </c>
      <c r="J74">
        <v>53.4</v>
      </c>
      <c r="K74">
        <v>57.37</v>
      </c>
    </row>
    <row r="75" spans="2:11" x14ac:dyDescent="0.3">
      <c r="B75">
        <v>32</v>
      </c>
      <c r="C75">
        <v>60</v>
      </c>
      <c r="D75">
        <v>70.8</v>
      </c>
      <c r="E75">
        <v>75.069999999999993</v>
      </c>
      <c r="H75">
        <v>32</v>
      </c>
      <c r="I75">
        <v>48</v>
      </c>
      <c r="J75">
        <v>68.099999999999994</v>
      </c>
      <c r="K75">
        <v>72.569999999999993</v>
      </c>
    </row>
    <row r="76" spans="2:11" x14ac:dyDescent="0.3">
      <c r="B76">
        <v>33</v>
      </c>
      <c r="C76">
        <v>4</v>
      </c>
      <c r="D76">
        <v>21.23</v>
      </c>
      <c r="E76">
        <v>23.52</v>
      </c>
      <c r="H76">
        <v>32</v>
      </c>
      <c r="I76">
        <v>60</v>
      </c>
      <c r="J76">
        <v>70.8</v>
      </c>
      <c r="K76">
        <v>75.069999999999993</v>
      </c>
    </row>
    <row r="77" spans="2:11" x14ac:dyDescent="0.3">
      <c r="B77">
        <v>33</v>
      </c>
      <c r="C77">
        <v>9</v>
      </c>
      <c r="D77">
        <v>34.01</v>
      </c>
      <c r="E77">
        <v>36.729999999999997</v>
      </c>
      <c r="H77">
        <v>33</v>
      </c>
      <c r="I77">
        <v>4</v>
      </c>
      <c r="J77">
        <v>32.92</v>
      </c>
      <c r="K77">
        <v>35.799999999999997</v>
      </c>
    </row>
    <row r="78" spans="2:11" x14ac:dyDescent="0.3">
      <c r="B78">
        <v>33</v>
      </c>
      <c r="C78">
        <v>18</v>
      </c>
      <c r="D78">
        <v>45.8</v>
      </c>
      <c r="E78">
        <v>49.35</v>
      </c>
      <c r="H78">
        <v>33</v>
      </c>
      <c r="I78">
        <v>9</v>
      </c>
      <c r="J78">
        <v>36.33</v>
      </c>
      <c r="K78">
        <v>39.270000000000003</v>
      </c>
    </row>
    <row r="79" spans="2:11" x14ac:dyDescent="0.3">
      <c r="B79">
        <v>33</v>
      </c>
      <c r="C79">
        <v>27</v>
      </c>
      <c r="D79">
        <v>51.49</v>
      </c>
      <c r="E79">
        <v>55.43</v>
      </c>
      <c r="H79">
        <v>33</v>
      </c>
      <c r="I79">
        <v>18</v>
      </c>
      <c r="J79">
        <v>46.85</v>
      </c>
      <c r="K79">
        <v>50.49</v>
      </c>
    </row>
    <row r="80" spans="2:11" x14ac:dyDescent="0.3">
      <c r="B80">
        <v>33</v>
      </c>
      <c r="C80">
        <v>48</v>
      </c>
      <c r="D80">
        <v>68.31</v>
      </c>
      <c r="E80">
        <v>73.05</v>
      </c>
      <c r="H80">
        <v>33</v>
      </c>
      <c r="I80">
        <v>27</v>
      </c>
      <c r="J80">
        <v>54.13</v>
      </c>
      <c r="K80">
        <v>58.28</v>
      </c>
    </row>
    <row r="81" spans="2:11" x14ac:dyDescent="0.3">
      <c r="B81">
        <v>33</v>
      </c>
      <c r="C81">
        <v>60</v>
      </c>
      <c r="D81">
        <v>70.81</v>
      </c>
      <c r="E81">
        <v>75.39</v>
      </c>
      <c r="H81">
        <v>33</v>
      </c>
      <c r="I81">
        <v>48</v>
      </c>
      <c r="J81">
        <v>68.31</v>
      </c>
      <c r="K81">
        <v>73.05</v>
      </c>
    </row>
    <row r="82" spans="2:11" x14ac:dyDescent="0.3">
      <c r="B82">
        <v>34</v>
      </c>
      <c r="C82">
        <v>4</v>
      </c>
      <c r="D82">
        <v>22.02</v>
      </c>
      <c r="E82">
        <v>24.34</v>
      </c>
      <c r="H82">
        <v>33</v>
      </c>
      <c r="I82">
        <v>60</v>
      </c>
      <c r="J82">
        <v>70.81</v>
      </c>
      <c r="K82">
        <v>75.39</v>
      </c>
    </row>
    <row r="83" spans="2:11" x14ac:dyDescent="0.3">
      <c r="B83">
        <v>34</v>
      </c>
      <c r="C83">
        <v>9</v>
      </c>
      <c r="D83">
        <v>34.99</v>
      </c>
      <c r="E83">
        <v>37.700000000000003</v>
      </c>
      <c r="H83">
        <v>34</v>
      </c>
      <c r="I83">
        <v>7</v>
      </c>
      <c r="J83">
        <v>33.869999999999997</v>
      </c>
      <c r="K83">
        <v>36.729999999999997</v>
      </c>
    </row>
    <row r="84" spans="2:11" x14ac:dyDescent="0.3">
      <c r="B84">
        <v>34</v>
      </c>
      <c r="C84">
        <v>18</v>
      </c>
      <c r="D84">
        <v>46.7</v>
      </c>
      <c r="E84">
        <v>50.36</v>
      </c>
      <c r="H84">
        <v>34</v>
      </c>
      <c r="I84">
        <v>9</v>
      </c>
      <c r="J84">
        <v>37.299999999999997</v>
      </c>
      <c r="K84">
        <v>40.229999999999997</v>
      </c>
    </row>
    <row r="85" spans="2:11" x14ac:dyDescent="0.3">
      <c r="B85">
        <v>34</v>
      </c>
      <c r="C85">
        <v>27</v>
      </c>
      <c r="D85">
        <v>52.29</v>
      </c>
      <c r="E85">
        <v>56.39</v>
      </c>
      <c r="H85">
        <v>34</v>
      </c>
      <c r="I85">
        <v>18</v>
      </c>
      <c r="J85">
        <v>47.74</v>
      </c>
      <c r="K85">
        <v>51.49</v>
      </c>
    </row>
    <row r="86" spans="2:11" x14ac:dyDescent="0.3">
      <c r="B86">
        <v>34</v>
      </c>
      <c r="C86">
        <v>48</v>
      </c>
      <c r="D86">
        <v>68.510000000000005</v>
      </c>
      <c r="E86">
        <v>73.540000000000006</v>
      </c>
      <c r="H86">
        <v>34</v>
      </c>
      <c r="I86">
        <v>27</v>
      </c>
      <c r="J86">
        <v>54.87</v>
      </c>
      <c r="K86">
        <v>59.19</v>
      </c>
    </row>
    <row r="87" spans="2:11" x14ac:dyDescent="0.3">
      <c r="B87">
        <v>34</v>
      </c>
      <c r="C87">
        <v>60</v>
      </c>
      <c r="D87">
        <v>70.83</v>
      </c>
      <c r="E87">
        <v>75.709999999999994</v>
      </c>
      <c r="H87">
        <v>34</v>
      </c>
      <c r="I87">
        <v>48</v>
      </c>
      <c r="J87">
        <v>68.510000000000005</v>
      </c>
      <c r="K87">
        <v>73.540000000000006</v>
      </c>
    </row>
    <row r="88" spans="2:11" x14ac:dyDescent="0.3">
      <c r="B88">
        <v>35</v>
      </c>
      <c r="C88">
        <v>4</v>
      </c>
      <c r="D88">
        <v>22.81</v>
      </c>
      <c r="E88">
        <v>25.16</v>
      </c>
      <c r="H88">
        <v>34</v>
      </c>
      <c r="I88">
        <v>60</v>
      </c>
      <c r="J88">
        <v>70.83</v>
      </c>
      <c r="K88">
        <v>75.709999999999994</v>
      </c>
    </row>
    <row r="89" spans="2:11" x14ac:dyDescent="0.3">
      <c r="B89">
        <v>35</v>
      </c>
      <c r="C89">
        <v>9</v>
      </c>
      <c r="D89">
        <v>35.97</v>
      </c>
      <c r="E89">
        <v>38.67</v>
      </c>
      <c r="H89">
        <v>35</v>
      </c>
      <c r="I89">
        <v>4</v>
      </c>
      <c r="J89">
        <v>34.83</v>
      </c>
      <c r="K89">
        <v>37.67</v>
      </c>
    </row>
    <row r="90" spans="2:11" x14ac:dyDescent="0.3">
      <c r="B90">
        <v>35</v>
      </c>
      <c r="C90">
        <v>18</v>
      </c>
      <c r="D90">
        <v>47.6</v>
      </c>
      <c r="E90">
        <v>51.37</v>
      </c>
      <c r="H90">
        <v>35</v>
      </c>
      <c r="I90">
        <v>9</v>
      </c>
      <c r="J90">
        <v>38.270000000000003</v>
      </c>
      <c r="K90">
        <v>41.2</v>
      </c>
    </row>
    <row r="91" spans="2:11" x14ac:dyDescent="0.3">
      <c r="B91">
        <v>35</v>
      </c>
      <c r="C91">
        <v>27</v>
      </c>
      <c r="D91">
        <v>53.08</v>
      </c>
      <c r="E91">
        <v>57.35</v>
      </c>
      <c r="H91">
        <v>35</v>
      </c>
      <c r="I91">
        <v>18</v>
      </c>
      <c r="J91">
        <v>48.63</v>
      </c>
      <c r="K91">
        <v>52.48</v>
      </c>
    </row>
    <row r="92" spans="2:11" x14ac:dyDescent="0.3">
      <c r="B92">
        <v>35</v>
      </c>
      <c r="C92">
        <v>48</v>
      </c>
      <c r="D92">
        <v>68.72</v>
      </c>
      <c r="E92">
        <v>74.03</v>
      </c>
      <c r="H92">
        <v>35</v>
      </c>
      <c r="I92">
        <v>27</v>
      </c>
      <c r="J92">
        <v>55.6</v>
      </c>
      <c r="K92">
        <v>60.11</v>
      </c>
    </row>
    <row r="93" spans="2:11" x14ac:dyDescent="0.3">
      <c r="B93">
        <v>35</v>
      </c>
      <c r="C93">
        <v>60</v>
      </c>
      <c r="D93">
        <v>70.84</v>
      </c>
      <c r="E93">
        <v>76.03</v>
      </c>
      <c r="H93">
        <v>35</v>
      </c>
      <c r="I93">
        <v>48</v>
      </c>
      <c r="J93">
        <v>68.72</v>
      </c>
      <c r="K93">
        <v>74.03</v>
      </c>
    </row>
    <row r="94" spans="2:11" x14ac:dyDescent="0.3">
      <c r="B94">
        <v>36</v>
      </c>
      <c r="C94">
        <v>4</v>
      </c>
      <c r="D94">
        <v>23.61</v>
      </c>
      <c r="E94">
        <v>25.98</v>
      </c>
      <c r="H94">
        <v>35</v>
      </c>
      <c r="I94">
        <v>60</v>
      </c>
      <c r="J94">
        <v>70.84</v>
      </c>
      <c r="K94">
        <v>76.03</v>
      </c>
    </row>
    <row r="95" spans="2:11" x14ac:dyDescent="0.3">
      <c r="B95">
        <v>36</v>
      </c>
      <c r="C95">
        <v>9</v>
      </c>
      <c r="D95">
        <v>36.950000000000003</v>
      </c>
      <c r="E95">
        <v>39.630000000000003</v>
      </c>
      <c r="H95">
        <v>36</v>
      </c>
      <c r="I95">
        <v>4</v>
      </c>
      <c r="J95">
        <v>35.78</v>
      </c>
      <c r="K95">
        <v>38.6</v>
      </c>
    </row>
    <row r="96" spans="2:11" x14ac:dyDescent="0.3">
      <c r="B96">
        <v>36</v>
      </c>
      <c r="C96">
        <v>18</v>
      </c>
      <c r="D96">
        <v>48.5</v>
      </c>
      <c r="E96">
        <v>52.39</v>
      </c>
      <c r="H96">
        <v>36</v>
      </c>
      <c r="I96">
        <v>9</v>
      </c>
      <c r="J96">
        <v>39.229999999999997</v>
      </c>
      <c r="K96">
        <v>42.17</v>
      </c>
    </row>
    <row r="97" spans="2:11" x14ac:dyDescent="0.3">
      <c r="B97">
        <v>36</v>
      </c>
      <c r="C97">
        <v>27</v>
      </c>
      <c r="D97">
        <v>53.87</v>
      </c>
      <c r="E97">
        <v>58.31</v>
      </c>
      <c r="H97">
        <v>36</v>
      </c>
      <c r="I97">
        <v>18</v>
      </c>
      <c r="J97">
        <v>49.51</v>
      </c>
      <c r="K97">
        <v>53.47</v>
      </c>
    </row>
    <row r="98" spans="2:11" x14ac:dyDescent="0.3">
      <c r="B98">
        <v>36</v>
      </c>
      <c r="C98">
        <v>48</v>
      </c>
      <c r="D98">
        <v>68.930000000000007</v>
      </c>
      <c r="E98">
        <v>74.510000000000005</v>
      </c>
      <c r="H98">
        <v>36</v>
      </c>
      <c r="I98">
        <v>27</v>
      </c>
      <c r="J98">
        <v>56.33</v>
      </c>
      <c r="K98">
        <v>61.02</v>
      </c>
    </row>
    <row r="99" spans="2:11" x14ac:dyDescent="0.3">
      <c r="B99">
        <v>36</v>
      </c>
      <c r="C99">
        <v>60</v>
      </c>
      <c r="D99">
        <v>70.849999999999994</v>
      </c>
      <c r="E99">
        <v>76.349999999999994</v>
      </c>
      <c r="H99">
        <v>36</v>
      </c>
      <c r="I99">
        <v>48</v>
      </c>
      <c r="J99">
        <v>68.930000000000007</v>
      </c>
      <c r="K99">
        <v>74.510000000000005</v>
      </c>
    </row>
    <row r="100" spans="2:11" x14ac:dyDescent="0.3">
      <c r="B100">
        <v>37</v>
      </c>
      <c r="C100">
        <v>4</v>
      </c>
      <c r="D100">
        <v>24.4</v>
      </c>
      <c r="E100">
        <v>26.8</v>
      </c>
      <c r="H100">
        <v>36</v>
      </c>
      <c r="I100">
        <v>60</v>
      </c>
      <c r="J100">
        <v>70.849999999999994</v>
      </c>
      <c r="K100">
        <v>76.349999999999994</v>
      </c>
    </row>
    <row r="101" spans="2:11" x14ac:dyDescent="0.3">
      <c r="B101">
        <v>37</v>
      </c>
      <c r="C101">
        <v>9</v>
      </c>
      <c r="D101">
        <v>37.93</v>
      </c>
      <c r="E101">
        <v>40.6</v>
      </c>
      <c r="H101">
        <v>37</v>
      </c>
      <c r="I101">
        <v>7</v>
      </c>
      <c r="J101">
        <v>36.729999999999997</v>
      </c>
      <c r="K101">
        <v>39.53</v>
      </c>
    </row>
    <row r="102" spans="2:11" x14ac:dyDescent="0.3">
      <c r="B102">
        <v>37</v>
      </c>
      <c r="C102">
        <v>18</v>
      </c>
      <c r="D102">
        <v>49.4</v>
      </c>
      <c r="E102">
        <v>53.4</v>
      </c>
      <c r="H102">
        <v>37</v>
      </c>
      <c r="I102">
        <v>9</v>
      </c>
      <c r="J102">
        <v>40.200000000000003</v>
      </c>
      <c r="K102">
        <v>43.13</v>
      </c>
    </row>
    <row r="103" spans="2:11" x14ac:dyDescent="0.3">
      <c r="B103">
        <v>37</v>
      </c>
      <c r="C103">
        <v>27</v>
      </c>
      <c r="D103">
        <v>54.67</v>
      </c>
      <c r="E103">
        <v>59.27</v>
      </c>
      <c r="H103">
        <v>37</v>
      </c>
      <c r="I103">
        <v>18</v>
      </c>
      <c r="J103">
        <v>50.4</v>
      </c>
      <c r="K103">
        <v>54.47</v>
      </c>
    </row>
    <row r="104" spans="2:11" x14ac:dyDescent="0.3">
      <c r="B104">
        <v>37</v>
      </c>
      <c r="C104">
        <v>48</v>
      </c>
      <c r="D104">
        <v>69.13</v>
      </c>
      <c r="E104">
        <v>75</v>
      </c>
      <c r="H104">
        <v>37</v>
      </c>
      <c r="I104">
        <v>27</v>
      </c>
      <c r="J104">
        <v>57.07</v>
      </c>
      <c r="K104">
        <v>61.93</v>
      </c>
    </row>
    <row r="105" spans="2:11" x14ac:dyDescent="0.3">
      <c r="B105">
        <v>37</v>
      </c>
      <c r="C105">
        <v>60</v>
      </c>
      <c r="D105">
        <v>70.87</v>
      </c>
      <c r="E105">
        <v>76.67</v>
      </c>
      <c r="H105">
        <v>37</v>
      </c>
      <c r="I105">
        <v>48</v>
      </c>
      <c r="J105">
        <v>69.13</v>
      </c>
      <c r="K105">
        <v>75</v>
      </c>
    </row>
    <row r="106" spans="2:11" x14ac:dyDescent="0.3">
      <c r="B106">
        <v>38</v>
      </c>
      <c r="C106">
        <v>4</v>
      </c>
      <c r="D106">
        <v>24.85</v>
      </c>
      <c r="E106">
        <v>27.05</v>
      </c>
      <c r="H106">
        <v>37</v>
      </c>
      <c r="I106">
        <v>60</v>
      </c>
      <c r="J106">
        <v>70.87</v>
      </c>
      <c r="K106">
        <v>76.67</v>
      </c>
    </row>
    <row r="107" spans="2:11" x14ac:dyDescent="0.3">
      <c r="B107">
        <v>38</v>
      </c>
      <c r="C107">
        <v>9</v>
      </c>
      <c r="D107">
        <v>38.24</v>
      </c>
      <c r="E107">
        <v>40.69</v>
      </c>
      <c r="H107">
        <v>38</v>
      </c>
      <c r="I107">
        <v>4</v>
      </c>
      <c r="J107">
        <v>37.03</v>
      </c>
      <c r="K107">
        <v>39.61</v>
      </c>
    </row>
    <row r="108" spans="2:11" x14ac:dyDescent="0.3">
      <c r="B108">
        <v>38</v>
      </c>
      <c r="C108">
        <v>18</v>
      </c>
      <c r="D108">
        <v>49.41</v>
      </c>
      <c r="E108">
        <v>53.23</v>
      </c>
      <c r="H108">
        <v>38</v>
      </c>
      <c r="I108">
        <v>9</v>
      </c>
      <c r="J108">
        <v>40.44</v>
      </c>
      <c r="K108">
        <v>43.17</v>
      </c>
    </row>
    <row r="109" spans="2:11" x14ac:dyDescent="0.3">
      <c r="B109">
        <v>38</v>
      </c>
      <c r="C109">
        <v>27</v>
      </c>
      <c r="D109">
        <v>54.45</v>
      </c>
      <c r="E109">
        <v>58.86</v>
      </c>
      <c r="H109">
        <v>38</v>
      </c>
      <c r="I109">
        <v>18</v>
      </c>
      <c r="J109">
        <v>50.37</v>
      </c>
      <c r="K109">
        <v>54.26</v>
      </c>
    </row>
    <row r="110" spans="2:11" x14ac:dyDescent="0.3">
      <c r="B110">
        <v>38</v>
      </c>
      <c r="C110">
        <v>48</v>
      </c>
      <c r="D110">
        <v>68.06</v>
      </c>
      <c r="E110">
        <v>73.69</v>
      </c>
      <c r="H110">
        <v>38</v>
      </c>
      <c r="I110">
        <v>27</v>
      </c>
      <c r="J110">
        <v>56.73</v>
      </c>
      <c r="K110">
        <v>61.4</v>
      </c>
    </row>
    <row r="111" spans="2:11" x14ac:dyDescent="0.3">
      <c r="B111">
        <v>38</v>
      </c>
      <c r="C111">
        <v>60</v>
      </c>
      <c r="D111">
        <v>69.53</v>
      </c>
      <c r="E111">
        <v>75.09</v>
      </c>
      <c r="H111">
        <v>38</v>
      </c>
      <c r="I111">
        <v>48</v>
      </c>
      <c r="J111">
        <v>68.06</v>
      </c>
      <c r="K111">
        <v>73.69</v>
      </c>
    </row>
    <row r="112" spans="2:11" x14ac:dyDescent="0.3">
      <c r="B112">
        <v>39</v>
      </c>
      <c r="C112">
        <v>4</v>
      </c>
      <c r="D112">
        <v>25.31</v>
      </c>
      <c r="E112">
        <v>27.31</v>
      </c>
      <c r="H112">
        <v>38</v>
      </c>
      <c r="I112">
        <v>60</v>
      </c>
      <c r="J112">
        <v>69.53</v>
      </c>
      <c r="K112">
        <v>75.09</v>
      </c>
    </row>
    <row r="113" spans="2:11" x14ac:dyDescent="0.3">
      <c r="B113">
        <v>39</v>
      </c>
      <c r="C113">
        <v>9</v>
      </c>
      <c r="D113">
        <v>38.549999999999997</v>
      </c>
      <c r="E113">
        <v>40.79</v>
      </c>
      <c r="H113">
        <v>39</v>
      </c>
      <c r="I113">
        <v>4</v>
      </c>
      <c r="J113">
        <v>37.32</v>
      </c>
      <c r="K113">
        <v>39.69</v>
      </c>
    </row>
    <row r="114" spans="2:11" x14ac:dyDescent="0.3">
      <c r="B114">
        <v>39</v>
      </c>
      <c r="C114">
        <v>18</v>
      </c>
      <c r="D114">
        <v>49.41</v>
      </c>
      <c r="E114">
        <v>53.05</v>
      </c>
      <c r="H114">
        <v>39</v>
      </c>
      <c r="I114">
        <v>9</v>
      </c>
      <c r="J114">
        <v>40.68</v>
      </c>
      <c r="K114">
        <v>43.2</v>
      </c>
    </row>
    <row r="115" spans="2:11" x14ac:dyDescent="0.3">
      <c r="B115">
        <v>39</v>
      </c>
      <c r="C115">
        <v>27</v>
      </c>
      <c r="D115">
        <v>54.23</v>
      </c>
      <c r="E115">
        <v>58.45</v>
      </c>
      <c r="H115">
        <v>39</v>
      </c>
      <c r="I115">
        <v>18</v>
      </c>
      <c r="J115">
        <v>50.33</v>
      </c>
      <c r="K115">
        <v>54.05</v>
      </c>
    </row>
    <row r="116" spans="2:11" x14ac:dyDescent="0.3">
      <c r="B116">
        <v>39</v>
      </c>
      <c r="C116">
        <v>48</v>
      </c>
      <c r="D116">
        <v>66.989999999999995</v>
      </c>
      <c r="E116">
        <v>72.39</v>
      </c>
      <c r="H116">
        <v>39</v>
      </c>
      <c r="I116">
        <v>27</v>
      </c>
      <c r="J116">
        <v>56.39</v>
      </c>
      <c r="K116">
        <v>60.87</v>
      </c>
    </row>
    <row r="117" spans="2:11" x14ac:dyDescent="0.3">
      <c r="B117">
        <v>39</v>
      </c>
      <c r="C117">
        <v>60</v>
      </c>
      <c r="D117">
        <v>68.19</v>
      </c>
      <c r="E117">
        <v>73.510000000000005</v>
      </c>
      <c r="H117">
        <v>39</v>
      </c>
      <c r="I117">
        <v>48</v>
      </c>
      <c r="J117">
        <v>66.989999999999995</v>
      </c>
      <c r="K117">
        <v>72.39</v>
      </c>
    </row>
    <row r="118" spans="2:11" x14ac:dyDescent="0.3">
      <c r="B118">
        <v>40</v>
      </c>
      <c r="C118">
        <v>4</v>
      </c>
      <c r="D118">
        <v>25.76</v>
      </c>
      <c r="E118">
        <v>27.56</v>
      </c>
      <c r="H118">
        <v>39</v>
      </c>
      <c r="I118">
        <v>60</v>
      </c>
      <c r="J118">
        <v>68.19</v>
      </c>
      <c r="K118">
        <v>73.510000000000005</v>
      </c>
    </row>
    <row r="119" spans="2:11" x14ac:dyDescent="0.3">
      <c r="B119">
        <v>40</v>
      </c>
      <c r="C119">
        <v>9</v>
      </c>
      <c r="D119">
        <v>38.85</v>
      </c>
      <c r="E119">
        <v>40.880000000000003</v>
      </c>
      <c r="H119">
        <v>40</v>
      </c>
      <c r="I119">
        <v>7</v>
      </c>
      <c r="J119">
        <v>37.61</v>
      </c>
      <c r="K119">
        <v>39.770000000000003</v>
      </c>
    </row>
    <row r="120" spans="2:11" x14ac:dyDescent="0.3">
      <c r="B120">
        <v>40</v>
      </c>
      <c r="C120">
        <v>18</v>
      </c>
      <c r="D120">
        <v>49.42</v>
      </c>
      <c r="E120">
        <v>52.88</v>
      </c>
      <c r="H120">
        <v>40</v>
      </c>
      <c r="I120">
        <v>9</v>
      </c>
      <c r="J120">
        <v>40.92</v>
      </c>
      <c r="K120">
        <v>43.23</v>
      </c>
    </row>
    <row r="121" spans="2:11" x14ac:dyDescent="0.3">
      <c r="B121">
        <v>40</v>
      </c>
      <c r="C121">
        <v>27</v>
      </c>
      <c r="D121">
        <v>54.01</v>
      </c>
      <c r="E121">
        <v>58.05</v>
      </c>
      <c r="H121">
        <v>40</v>
      </c>
      <c r="I121">
        <v>18</v>
      </c>
      <c r="J121">
        <v>50.3</v>
      </c>
      <c r="K121">
        <v>53.85</v>
      </c>
    </row>
    <row r="122" spans="2:11" x14ac:dyDescent="0.3">
      <c r="B122">
        <v>40</v>
      </c>
      <c r="C122">
        <v>48</v>
      </c>
      <c r="D122">
        <v>65.91</v>
      </c>
      <c r="E122">
        <v>71.08</v>
      </c>
      <c r="H122">
        <v>40</v>
      </c>
      <c r="I122">
        <v>27</v>
      </c>
      <c r="J122">
        <v>56.05</v>
      </c>
      <c r="K122">
        <v>60.33</v>
      </c>
    </row>
    <row r="123" spans="2:11" x14ac:dyDescent="0.3">
      <c r="B123">
        <v>40</v>
      </c>
      <c r="C123">
        <v>60</v>
      </c>
      <c r="D123">
        <v>66.849999999999994</v>
      </c>
      <c r="E123">
        <v>71.930000000000007</v>
      </c>
      <c r="H123">
        <v>40</v>
      </c>
      <c r="I123">
        <v>48</v>
      </c>
      <c r="J123">
        <v>65.91</v>
      </c>
      <c r="K123">
        <v>71.08</v>
      </c>
    </row>
    <row r="124" spans="2:11" x14ac:dyDescent="0.3">
      <c r="B124">
        <v>41</v>
      </c>
      <c r="C124">
        <v>4</v>
      </c>
      <c r="D124">
        <v>26.21</v>
      </c>
      <c r="E124">
        <v>27.81</v>
      </c>
      <c r="H124">
        <v>40</v>
      </c>
      <c r="I124">
        <v>60</v>
      </c>
      <c r="J124">
        <v>66.849999999999994</v>
      </c>
      <c r="K124">
        <v>71.930000000000007</v>
      </c>
    </row>
    <row r="125" spans="2:11" x14ac:dyDescent="0.3">
      <c r="B125">
        <v>41</v>
      </c>
      <c r="C125">
        <v>9</v>
      </c>
      <c r="D125">
        <v>39.159999999999997</v>
      </c>
      <c r="E125">
        <v>40.97</v>
      </c>
      <c r="H125">
        <v>41</v>
      </c>
      <c r="I125">
        <v>4</v>
      </c>
      <c r="J125">
        <v>37.909999999999997</v>
      </c>
      <c r="K125">
        <v>39.85</v>
      </c>
    </row>
    <row r="126" spans="2:11" x14ac:dyDescent="0.3">
      <c r="B126">
        <v>41</v>
      </c>
      <c r="C126">
        <v>18</v>
      </c>
      <c r="D126">
        <v>49.43</v>
      </c>
      <c r="E126">
        <v>52.71</v>
      </c>
      <c r="H126">
        <v>41</v>
      </c>
      <c r="I126">
        <v>9</v>
      </c>
      <c r="J126">
        <v>41.16</v>
      </c>
      <c r="K126">
        <v>43.27</v>
      </c>
    </row>
    <row r="127" spans="2:11" x14ac:dyDescent="0.3">
      <c r="B127">
        <v>41</v>
      </c>
      <c r="C127">
        <v>27</v>
      </c>
      <c r="D127">
        <v>53.79</v>
      </c>
      <c r="E127">
        <v>57.64</v>
      </c>
      <c r="H127">
        <v>41</v>
      </c>
      <c r="I127">
        <v>18</v>
      </c>
      <c r="J127">
        <v>50.27</v>
      </c>
      <c r="K127">
        <v>53.64</v>
      </c>
    </row>
    <row r="128" spans="2:11" x14ac:dyDescent="0.3">
      <c r="B128">
        <v>41</v>
      </c>
      <c r="C128">
        <v>48</v>
      </c>
      <c r="D128">
        <v>64.84</v>
      </c>
      <c r="E128">
        <v>69.77</v>
      </c>
      <c r="H128">
        <v>41</v>
      </c>
      <c r="I128">
        <v>27</v>
      </c>
      <c r="J128">
        <v>55.71</v>
      </c>
      <c r="K128">
        <v>59.8</v>
      </c>
    </row>
    <row r="129" spans="2:11" x14ac:dyDescent="0.3">
      <c r="B129">
        <v>41</v>
      </c>
      <c r="C129">
        <v>60</v>
      </c>
      <c r="D129">
        <v>65.510000000000005</v>
      </c>
      <c r="E129">
        <v>70.349999999999994</v>
      </c>
      <c r="H129">
        <v>41</v>
      </c>
      <c r="I129">
        <v>48</v>
      </c>
      <c r="J129">
        <v>64.84</v>
      </c>
      <c r="K129">
        <v>69.77</v>
      </c>
    </row>
    <row r="130" spans="2:11" x14ac:dyDescent="0.3">
      <c r="B130">
        <v>42</v>
      </c>
      <c r="C130">
        <v>4</v>
      </c>
      <c r="D130">
        <v>26.67</v>
      </c>
      <c r="E130">
        <v>28.07</v>
      </c>
      <c r="H130">
        <v>41</v>
      </c>
      <c r="I130">
        <v>60</v>
      </c>
      <c r="J130">
        <v>65.510000000000005</v>
      </c>
      <c r="K130">
        <v>70.349999999999994</v>
      </c>
    </row>
    <row r="131" spans="2:11" x14ac:dyDescent="0.3">
      <c r="B131">
        <v>42</v>
      </c>
      <c r="C131">
        <v>9</v>
      </c>
      <c r="D131">
        <v>39.47</v>
      </c>
      <c r="E131">
        <v>41.07</v>
      </c>
      <c r="H131">
        <v>42</v>
      </c>
      <c r="I131">
        <v>4</v>
      </c>
      <c r="J131">
        <v>38.200000000000003</v>
      </c>
      <c r="K131">
        <v>39.93</v>
      </c>
    </row>
    <row r="132" spans="2:11" x14ac:dyDescent="0.3">
      <c r="B132">
        <v>42</v>
      </c>
      <c r="C132">
        <v>18</v>
      </c>
      <c r="D132">
        <v>49.43</v>
      </c>
      <c r="E132">
        <v>52.53</v>
      </c>
      <c r="H132">
        <v>42</v>
      </c>
      <c r="I132">
        <v>9</v>
      </c>
      <c r="J132">
        <v>41.4</v>
      </c>
      <c r="K132">
        <v>43.3</v>
      </c>
    </row>
    <row r="133" spans="2:11" x14ac:dyDescent="0.3">
      <c r="B133">
        <v>42</v>
      </c>
      <c r="C133">
        <v>27</v>
      </c>
      <c r="D133">
        <v>53.57</v>
      </c>
      <c r="E133">
        <v>57.23</v>
      </c>
      <c r="H133">
        <v>42</v>
      </c>
      <c r="I133">
        <v>18</v>
      </c>
      <c r="J133">
        <v>50.23</v>
      </c>
      <c r="K133">
        <v>53.43</v>
      </c>
    </row>
    <row r="134" spans="2:11" x14ac:dyDescent="0.3">
      <c r="B134">
        <v>42</v>
      </c>
      <c r="C134">
        <v>48</v>
      </c>
      <c r="D134">
        <v>63.77</v>
      </c>
      <c r="E134">
        <v>68.47</v>
      </c>
      <c r="H134">
        <v>42</v>
      </c>
      <c r="I134">
        <v>27</v>
      </c>
      <c r="J134">
        <v>55.37</v>
      </c>
      <c r="K134">
        <v>59.27</v>
      </c>
    </row>
    <row r="135" spans="2:11" x14ac:dyDescent="0.3">
      <c r="B135">
        <v>42</v>
      </c>
      <c r="C135">
        <v>60</v>
      </c>
      <c r="D135">
        <v>64.17</v>
      </c>
      <c r="E135">
        <v>68.77</v>
      </c>
      <c r="H135">
        <v>42</v>
      </c>
      <c r="I135">
        <v>48</v>
      </c>
      <c r="J135">
        <v>63.77</v>
      </c>
      <c r="K135">
        <v>68.47</v>
      </c>
    </row>
    <row r="136" spans="2:11" x14ac:dyDescent="0.3">
      <c r="B136">
        <v>43</v>
      </c>
      <c r="C136">
        <v>4</v>
      </c>
      <c r="D136">
        <v>27.12</v>
      </c>
      <c r="E136">
        <v>28.32</v>
      </c>
      <c r="H136">
        <v>42</v>
      </c>
      <c r="I136">
        <v>60</v>
      </c>
      <c r="J136">
        <v>64.17</v>
      </c>
      <c r="K136">
        <v>68.77</v>
      </c>
    </row>
    <row r="137" spans="2:11" x14ac:dyDescent="0.3">
      <c r="B137">
        <v>43</v>
      </c>
      <c r="C137">
        <v>9</v>
      </c>
      <c r="D137">
        <v>39.770000000000003</v>
      </c>
      <c r="E137">
        <v>41.16</v>
      </c>
      <c r="H137">
        <v>43</v>
      </c>
      <c r="I137">
        <v>4</v>
      </c>
      <c r="J137">
        <v>38.49</v>
      </c>
      <c r="K137">
        <v>40.01</v>
      </c>
    </row>
    <row r="138" spans="2:11" x14ac:dyDescent="0.3">
      <c r="B138">
        <v>43</v>
      </c>
      <c r="C138">
        <v>18</v>
      </c>
      <c r="D138">
        <v>49.44</v>
      </c>
      <c r="E138">
        <v>52.36</v>
      </c>
      <c r="H138">
        <v>43</v>
      </c>
      <c r="I138">
        <v>9</v>
      </c>
      <c r="J138">
        <v>41.64</v>
      </c>
      <c r="K138">
        <v>43.33</v>
      </c>
    </row>
    <row r="139" spans="2:11" x14ac:dyDescent="0.3">
      <c r="B139">
        <v>43</v>
      </c>
      <c r="C139">
        <v>27</v>
      </c>
      <c r="D139">
        <v>53.35</v>
      </c>
      <c r="E139">
        <v>56.83</v>
      </c>
      <c r="H139">
        <v>43</v>
      </c>
      <c r="I139">
        <v>18</v>
      </c>
      <c r="J139">
        <v>50.2</v>
      </c>
      <c r="K139">
        <v>53.23</v>
      </c>
    </row>
    <row r="140" spans="2:11" x14ac:dyDescent="0.3">
      <c r="B140">
        <v>43</v>
      </c>
      <c r="C140">
        <v>48</v>
      </c>
      <c r="D140">
        <v>62.69</v>
      </c>
      <c r="E140">
        <v>67.16</v>
      </c>
      <c r="H140">
        <v>43</v>
      </c>
      <c r="I140">
        <v>27</v>
      </c>
      <c r="J140">
        <v>55.03</v>
      </c>
      <c r="K140">
        <v>58.73</v>
      </c>
    </row>
    <row r="141" spans="2:11" x14ac:dyDescent="0.3">
      <c r="B141">
        <v>43</v>
      </c>
      <c r="C141">
        <v>60</v>
      </c>
      <c r="D141">
        <v>62.83</v>
      </c>
      <c r="E141">
        <v>67.19</v>
      </c>
      <c r="H141">
        <v>43</v>
      </c>
      <c r="I141">
        <v>48</v>
      </c>
      <c r="J141">
        <v>62.69</v>
      </c>
      <c r="K141">
        <v>67.16</v>
      </c>
    </row>
    <row r="142" spans="2:11" x14ac:dyDescent="0.3">
      <c r="B142">
        <v>44</v>
      </c>
      <c r="C142">
        <v>4</v>
      </c>
      <c r="D142">
        <v>27.57</v>
      </c>
      <c r="E142">
        <v>28.57</v>
      </c>
      <c r="H142">
        <v>43</v>
      </c>
      <c r="I142">
        <v>60</v>
      </c>
      <c r="J142">
        <v>62.83</v>
      </c>
      <c r="K142">
        <v>67.19</v>
      </c>
    </row>
    <row r="143" spans="2:11" x14ac:dyDescent="0.3">
      <c r="B143">
        <v>44</v>
      </c>
      <c r="C143">
        <v>9</v>
      </c>
      <c r="D143">
        <v>40.08</v>
      </c>
      <c r="E143">
        <v>41.25</v>
      </c>
      <c r="H143">
        <v>44</v>
      </c>
      <c r="I143">
        <v>7</v>
      </c>
      <c r="J143">
        <v>38.79</v>
      </c>
      <c r="K143">
        <v>40.090000000000003</v>
      </c>
    </row>
    <row r="144" spans="2:11" x14ac:dyDescent="0.3">
      <c r="B144">
        <v>44</v>
      </c>
      <c r="C144">
        <v>18</v>
      </c>
      <c r="D144">
        <v>49.45</v>
      </c>
      <c r="E144">
        <v>52.19</v>
      </c>
      <c r="H144">
        <v>44</v>
      </c>
      <c r="I144">
        <v>9</v>
      </c>
      <c r="J144">
        <v>41.88</v>
      </c>
      <c r="K144">
        <v>43.37</v>
      </c>
    </row>
    <row r="145" spans="2:11" x14ac:dyDescent="0.3">
      <c r="B145">
        <v>44</v>
      </c>
      <c r="C145">
        <v>27</v>
      </c>
      <c r="D145">
        <v>53.13</v>
      </c>
      <c r="E145">
        <v>56.42</v>
      </c>
      <c r="H145">
        <v>44</v>
      </c>
      <c r="I145">
        <v>18</v>
      </c>
      <c r="J145">
        <v>50.17</v>
      </c>
      <c r="K145">
        <v>53.02</v>
      </c>
    </row>
    <row r="146" spans="2:11" x14ac:dyDescent="0.3">
      <c r="B146">
        <v>44</v>
      </c>
      <c r="C146">
        <v>48</v>
      </c>
      <c r="D146">
        <v>61.62</v>
      </c>
      <c r="E146">
        <v>65.849999999999994</v>
      </c>
      <c r="H146">
        <v>44</v>
      </c>
      <c r="I146">
        <v>27</v>
      </c>
      <c r="J146">
        <v>54.69</v>
      </c>
      <c r="K146">
        <v>58.2</v>
      </c>
    </row>
    <row r="147" spans="2:11" x14ac:dyDescent="0.3">
      <c r="B147">
        <v>44</v>
      </c>
      <c r="C147">
        <v>60</v>
      </c>
      <c r="D147">
        <v>61.49</v>
      </c>
      <c r="E147">
        <v>65.61</v>
      </c>
      <c r="H147">
        <v>44</v>
      </c>
      <c r="I147">
        <v>48</v>
      </c>
      <c r="J147">
        <v>61.62</v>
      </c>
      <c r="K147">
        <v>65.849999999999994</v>
      </c>
    </row>
    <row r="148" spans="2:11" x14ac:dyDescent="0.3">
      <c r="B148">
        <v>45</v>
      </c>
      <c r="C148">
        <v>4</v>
      </c>
      <c r="D148">
        <v>28.03</v>
      </c>
      <c r="E148">
        <v>28.83</v>
      </c>
      <c r="H148">
        <v>44</v>
      </c>
      <c r="I148">
        <v>60</v>
      </c>
      <c r="J148">
        <v>61.49</v>
      </c>
      <c r="K148">
        <v>65.61</v>
      </c>
    </row>
    <row r="149" spans="2:11" x14ac:dyDescent="0.3">
      <c r="B149">
        <v>45</v>
      </c>
      <c r="C149">
        <v>9</v>
      </c>
      <c r="D149">
        <v>40.39</v>
      </c>
      <c r="E149">
        <v>41.35</v>
      </c>
      <c r="H149">
        <v>45</v>
      </c>
      <c r="I149">
        <v>4</v>
      </c>
      <c r="J149">
        <v>39.08</v>
      </c>
      <c r="K149">
        <v>40.17</v>
      </c>
    </row>
    <row r="150" spans="2:11" x14ac:dyDescent="0.3">
      <c r="B150">
        <v>45</v>
      </c>
      <c r="C150">
        <v>18</v>
      </c>
      <c r="D150">
        <v>49.45</v>
      </c>
      <c r="E150">
        <v>52.01</v>
      </c>
      <c r="H150">
        <v>45</v>
      </c>
      <c r="I150">
        <v>9</v>
      </c>
      <c r="J150">
        <v>42.12</v>
      </c>
      <c r="K150">
        <v>43.4</v>
      </c>
    </row>
    <row r="151" spans="2:11" x14ac:dyDescent="0.3">
      <c r="B151">
        <v>45</v>
      </c>
      <c r="C151">
        <v>27</v>
      </c>
      <c r="D151">
        <v>52.91</v>
      </c>
      <c r="E151">
        <v>56.01</v>
      </c>
      <c r="H151">
        <v>45</v>
      </c>
      <c r="I151">
        <v>18</v>
      </c>
      <c r="J151">
        <v>50.13</v>
      </c>
      <c r="K151">
        <v>52.81</v>
      </c>
    </row>
    <row r="152" spans="2:11" x14ac:dyDescent="0.3">
      <c r="B152">
        <v>45</v>
      </c>
      <c r="C152">
        <v>48</v>
      </c>
      <c r="D152">
        <v>60.55</v>
      </c>
      <c r="E152">
        <v>64.55</v>
      </c>
      <c r="H152">
        <v>45</v>
      </c>
      <c r="I152">
        <v>27</v>
      </c>
      <c r="J152">
        <v>54.35</v>
      </c>
      <c r="K152">
        <v>57.67</v>
      </c>
    </row>
    <row r="153" spans="2:11" x14ac:dyDescent="0.3">
      <c r="B153">
        <v>45</v>
      </c>
      <c r="C153">
        <v>60</v>
      </c>
      <c r="D153">
        <v>60.15</v>
      </c>
      <c r="E153">
        <v>64.03</v>
      </c>
      <c r="H153">
        <v>45</v>
      </c>
      <c r="I153">
        <v>48</v>
      </c>
      <c r="J153">
        <v>60.55</v>
      </c>
      <c r="K153">
        <v>64.55</v>
      </c>
    </row>
    <row r="154" spans="2:11" x14ac:dyDescent="0.3">
      <c r="B154">
        <v>46</v>
      </c>
      <c r="C154">
        <v>4</v>
      </c>
      <c r="D154">
        <v>28.48</v>
      </c>
      <c r="E154">
        <v>29.08</v>
      </c>
      <c r="H154">
        <v>45</v>
      </c>
      <c r="I154">
        <v>60</v>
      </c>
      <c r="J154">
        <v>60.15</v>
      </c>
      <c r="K154">
        <v>64.03</v>
      </c>
    </row>
    <row r="155" spans="2:11" x14ac:dyDescent="0.3">
      <c r="B155">
        <v>46</v>
      </c>
      <c r="C155">
        <v>9</v>
      </c>
      <c r="D155">
        <v>40.69</v>
      </c>
      <c r="E155">
        <v>41.44</v>
      </c>
      <c r="H155">
        <v>46</v>
      </c>
      <c r="I155">
        <v>4</v>
      </c>
      <c r="J155">
        <v>39.369999999999997</v>
      </c>
      <c r="K155">
        <v>40.25</v>
      </c>
    </row>
    <row r="156" spans="2:11" x14ac:dyDescent="0.3">
      <c r="B156">
        <v>46</v>
      </c>
      <c r="C156">
        <v>18</v>
      </c>
      <c r="D156">
        <v>49.46</v>
      </c>
      <c r="E156">
        <v>51.84</v>
      </c>
      <c r="H156">
        <v>46</v>
      </c>
      <c r="I156">
        <v>9</v>
      </c>
      <c r="J156">
        <v>42.36</v>
      </c>
      <c r="K156">
        <v>43.43</v>
      </c>
    </row>
    <row r="157" spans="2:11" x14ac:dyDescent="0.3">
      <c r="B157">
        <v>46</v>
      </c>
      <c r="C157">
        <v>27</v>
      </c>
      <c r="D157">
        <v>52.69</v>
      </c>
      <c r="E157">
        <v>55.61</v>
      </c>
      <c r="H157">
        <v>46</v>
      </c>
      <c r="I157">
        <v>18</v>
      </c>
      <c r="J157">
        <v>50.1</v>
      </c>
      <c r="K157">
        <v>52.61</v>
      </c>
    </row>
    <row r="158" spans="2:11" x14ac:dyDescent="0.3">
      <c r="B158">
        <v>46</v>
      </c>
      <c r="C158">
        <v>48</v>
      </c>
      <c r="D158">
        <v>59.47</v>
      </c>
      <c r="E158">
        <v>63.24</v>
      </c>
      <c r="H158">
        <v>46</v>
      </c>
      <c r="I158">
        <v>27</v>
      </c>
      <c r="J158">
        <v>54.01</v>
      </c>
      <c r="K158">
        <v>57.13</v>
      </c>
    </row>
    <row r="159" spans="2:11" x14ac:dyDescent="0.3">
      <c r="B159">
        <v>46</v>
      </c>
      <c r="C159">
        <v>60</v>
      </c>
      <c r="D159">
        <v>58.81</v>
      </c>
      <c r="E159">
        <v>62.45</v>
      </c>
      <c r="H159">
        <v>46</v>
      </c>
      <c r="I159">
        <v>48</v>
      </c>
      <c r="J159">
        <v>59.47</v>
      </c>
      <c r="K159">
        <v>63.24</v>
      </c>
    </row>
    <row r="160" spans="2:11" x14ac:dyDescent="0.3">
      <c r="B160">
        <v>47</v>
      </c>
      <c r="C160">
        <v>4</v>
      </c>
      <c r="D160">
        <v>28.93</v>
      </c>
      <c r="E160">
        <v>29.33</v>
      </c>
      <c r="H160">
        <v>46</v>
      </c>
      <c r="I160">
        <v>60</v>
      </c>
      <c r="J160">
        <v>58.81</v>
      </c>
      <c r="K160">
        <v>62.45</v>
      </c>
    </row>
    <row r="161" spans="2:11" x14ac:dyDescent="0.3">
      <c r="B161">
        <v>47</v>
      </c>
      <c r="C161">
        <v>9</v>
      </c>
      <c r="D161">
        <v>41</v>
      </c>
      <c r="E161">
        <v>41.53</v>
      </c>
      <c r="H161">
        <v>47</v>
      </c>
      <c r="I161">
        <v>7</v>
      </c>
      <c r="J161">
        <v>39.67</v>
      </c>
      <c r="K161">
        <v>40.33</v>
      </c>
    </row>
    <row r="162" spans="2:11" x14ac:dyDescent="0.3">
      <c r="B162">
        <v>47</v>
      </c>
      <c r="C162">
        <v>18</v>
      </c>
      <c r="D162">
        <v>49.47</v>
      </c>
      <c r="E162">
        <v>51.67</v>
      </c>
      <c r="H162">
        <v>47</v>
      </c>
      <c r="I162">
        <v>9</v>
      </c>
      <c r="J162">
        <v>42.6</v>
      </c>
      <c r="K162">
        <v>43.47</v>
      </c>
    </row>
    <row r="163" spans="2:11" x14ac:dyDescent="0.3">
      <c r="B163">
        <v>47</v>
      </c>
      <c r="C163">
        <v>27</v>
      </c>
      <c r="D163">
        <v>52.47</v>
      </c>
      <c r="E163">
        <v>55.2</v>
      </c>
      <c r="H163">
        <v>47</v>
      </c>
      <c r="I163">
        <v>18</v>
      </c>
      <c r="J163">
        <v>50.07</v>
      </c>
      <c r="K163">
        <v>52.4</v>
      </c>
    </row>
    <row r="164" spans="2:11" x14ac:dyDescent="0.3">
      <c r="B164">
        <v>47</v>
      </c>
      <c r="C164">
        <v>48</v>
      </c>
      <c r="D164">
        <v>58.4</v>
      </c>
      <c r="E164">
        <v>61.93</v>
      </c>
      <c r="H164">
        <v>47</v>
      </c>
      <c r="I164">
        <v>27</v>
      </c>
      <c r="J164">
        <v>53.67</v>
      </c>
      <c r="K164">
        <v>56.6</v>
      </c>
    </row>
    <row r="165" spans="2:11" x14ac:dyDescent="0.3">
      <c r="B165">
        <v>47</v>
      </c>
      <c r="C165">
        <v>60</v>
      </c>
      <c r="D165">
        <v>57.47</v>
      </c>
      <c r="E165">
        <v>60.87</v>
      </c>
      <c r="H165">
        <v>47</v>
      </c>
      <c r="I165">
        <v>48</v>
      </c>
      <c r="J165">
        <v>58.4</v>
      </c>
      <c r="K165">
        <v>61.93</v>
      </c>
    </row>
    <row r="166" spans="2:11" x14ac:dyDescent="0.3">
      <c r="B166">
        <v>48</v>
      </c>
      <c r="C166">
        <v>4</v>
      </c>
      <c r="D166">
        <v>28.39</v>
      </c>
      <c r="E166">
        <v>28.63</v>
      </c>
      <c r="H166">
        <v>47</v>
      </c>
      <c r="I166">
        <v>60</v>
      </c>
      <c r="J166">
        <v>57.47</v>
      </c>
      <c r="K166">
        <v>60.87</v>
      </c>
    </row>
    <row r="167" spans="2:11" x14ac:dyDescent="0.3">
      <c r="B167">
        <v>48</v>
      </c>
      <c r="C167">
        <v>9</v>
      </c>
      <c r="D167">
        <v>39.86</v>
      </c>
      <c r="E167">
        <v>40.24</v>
      </c>
      <c r="H167">
        <v>48</v>
      </c>
      <c r="I167">
        <v>4</v>
      </c>
      <c r="J167">
        <v>38.61</v>
      </c>
      <c r="K167">
        <v>39.11</v>
      </c>
    </row>
    <row r="168" spans="2:11" x14ac:dyDescent="0.3">
      <c r="B168">
        <v>48</v>
      </c>
      <c r="C168">
        <v>18</v>
      </c>
      <c r="D168">
        <v>47.67</v>
      </c>
      <c r="E168">
        <v>49.65</v>
      </c>
      <c r="H168">
        <v>48</v>
      </c>
      <c r="I168">
        <v>9</v>
      </c>
      <c r="J168">
        <v>41.37</v>
      </c>
      <c r="K168">
        <v>42.07</v>
      </c>
    </row>
    <row r="169" spans="2:11" x14ac:dyDescent="0.3">
      <c r="B169">
        <v>48</v>
      </c>
      <c r="C169">
        <v>27</v>
      </c>
      <c r="D169">
        <v>50.21</v>
      </c>
      <c r="E169">
        <v>52.69</v>
      </c>
      <c r="H169">
        <v>48</v>
      </c>
      <c r="I169">
        <v>18</v>
      </c>
      <c r="J169">
        <v>48.23</v>
      </c>
      <c r="K169">
        <v>50.33</v>
      </c>
    </row>
    <row r="170" spans="2:11" x14ac:dyDescent="0.3">
      <c r="B170">
        <v>48</v>
      </c>
      <c r="C170">
        <v>48</v>
      </c>
      <c r="D170">
        <v>54.93</v>
      </c>
      <c r="E170">
        <v>58.15</v>
      </c>
      <c r="H170">
        <v>48</v>
      </c>
      <c r="I170">
        <v>27</v>
      </c>
      <c r="J170">
        <v>51.23</v>
      </c>
      <c r="K170">
        <v>53.9</v>
      </c>
    </row>
    <row r="171" spans="2:11" x14ac:dyDescent="0.3">
      <c r="B171">
        <v>48</v>
      </c>
      <c r="C171">
        <v>60</v>
      </c>
      <c r="D171">
        <v>53.53</v>
      </c>
      <c r="E171">
        <v>56.61</v>
      </c>
      <c r="H171">
        <v>48</v>
      </c>
      <c r="I171">
        <v>48</v>
      </c>
      <c r="J171">
        <v>54.93</v>
      </c>
      <c r="K171">
        <v>58.15</v>
      </c>
    </row>
    <row r="172" spans="2:11" x14ac:dyDescent="0.3">
      <c r="B172">
        <v>49</v>
      </c>
      <c r="C172">
        <v>4</v>
      </c>
      <c r="D172">
        <v>27.84</v>
      </c>
      <c r="E172">
        <v>27.93</v>
      </c>
      <c r="H172">
        <v>48</v>
      </c>
      <c r="I172">
        <v>60</v>
      </c>
      <c r="J172">
        <v>53.53</v>
      </c>
      <c r="K172">
        <v>56.61</v>
      </c>
    </row>
    <row r="173" spans="2:11" x14ac:dyDescent="0.3">
      <c r="B173">
        <v>49</v>
      </c>
      <c r="C173">
        <v>9</v>
      </c>
      <c r="D173">
        <v>38.72</v>
      </c>
      <c r="E173">
        <v>38.950000000000003</v>
      </c>
      <c r="H173">
        <v>49</v>
      </c>
      <c r="I173">
        <v>4</v>
      </c>
      <c r="J173">
        <v>37.549999999999997</v>
      </c>
      <c r="K173">
        <v>37.89</v>
      </c>
    </row>
    <row r="174" spans="2:11" x14ac:dyDescent="0.3">
      <c r="B174">
        <v>49</v>
      </c>
      <c r="C174">
        <v>18</v>
      </c>
      <c r="D174">
        <v>45.87</v>
      </c>
      <c r="E174">
        <v>47.63</v>
      </c>
      <c r="H174">
        <v>49</v>
      </c>
      <c r="I174">
        <v>9</v>
      </c>
      <c r="J174">
        <v>40.130000000000003</v>
      </c>
      <c r="K174">
        <v>40.67</v>
      </c>
    </row>
    <row r="175" spans="2:11" x14ac:dyDescent="0.3">
      <c r="B175">
        <v>49</v>
      </c>
      <c r="C175">
        <v>27</v>
      </c>
      <c r="D175">
        <v>47.96</v>
      </c>
      <c r="E175">
        <v>50.17</v>
      </c>
      <c r="H175">
        <v>49</v>
      </c>
      <c r="I175">
        <v>18</v>
      </c>
      <c r="J175">
        <v>46.4</v>
      </c>
      <c r="K175">
        <v>48.27</v>
      </c>
    </row>
    <row r="176" spans="2:11" x14ac:dyDescent="0.3">
      <c r="B176">
        <v>49</v>
      </c>
      <c r="C176">
        <v>48</v>
      </c>
      <c r="D176">
        <v>51.45</v>
      </c>
      <c r="E176">
        <v>54.36</v>
      </c>
      <c r="H176">
        <v>49</v>
      </c>
      <c r="I176">
        <v>27</v>
      </c>
      <c r="J176">
        <v>48.8</v>
      </c>
      <c r="K176">
        <v>51.2</v>
      </c>
    </row>
    <row r="177" spans="2:11" x14ac:dyDescent="0.3">
      <c r="B177">
        <v>49</v>
      </c>
      <c r="C177">
        <v>60</v>
      </c>
      <c r="D177">
        <v>49.59</v>
      </c>
      <c r="E177">
        <v>52.35</v>
      </c>
      <c r="H177">
        <v>49</v>
      </c>
      <c r="I177">
        <v>48</v>
      </c>
      <c r="J177">
        <v>51.45</v>
      </c>
      <c r="K177">
        <v>54.36</v>
      </c>
    </row>
    <row r="178" spans="2:11" x14ac:dyDescent="0.3">
      <c r="B178">
        <v>50</v>
      </c>
      <c r="C178">
        <v>4</v>
      </c>
      <c r="D178">
        <v>27.29</v>
      </c>
      <c r="E178">
        <v>27.23</v>
      </c>
      <c r="H178">
        <v>49</v>
      </c>
      <c r="I178">
        <v>60</v>
      </c>
      <c r="J178">
        <v>49.59</v>
      </c>
      <c r="K178">
        <v>52.35</v>
      </c>
    </row>
    <row r="179" spans="2:11" x14ac:dyDescent="0.3">
      <c r="B179">
        <v>50</v>
      </c>
      <c r="C179">
        <v>9</v>
      </c>
      <c r="D179">
        <v>37.58</v>
      </c>
      <c r="E179">
        <v>37.65</v>
      </c>
      <c r="H179">
        <v>50</v>
      </c>
      <c r="I179">
        <v>7</v>
      </c>
      <c r="J179">
        <v>36.49</v>
      </c>
      <c r="K179">
        <v>36.67</v>
      </c>
    </row>
    <row r="180" spans="2:11" x14ac:dyDescent="0.3">
      <c r="B180">
        <v>50</v>
      </c>
      <c r="C180">
        <v>18</v>
      </c>
      <c r="D180">
        <v>44.07</v>
      </c>
      <c r="E180">
        <v>45.61</v>
      </c>
      <c r="H180">
        <v>50</v>
      </c>
      <c r="I180">
        <v>9</v>
      </c>
      <c r="J180">
        <v>38.9</v>
      </c>
      <c r="K180">
        <v>39.270000000000003</v>
      </c>
    </row>
    <row r="181" spans="2:11" x14ac:dyDescent="0.3">
      <c r="B181">
        <v>50</v>
      </c>
      <c r="C181">
        <v>27</v>
      </c>
      <c r="D181">
        <v>45.71</v>
      </c>
      <c r="E181">
        <v>47.66</v>
      </c>
      <c r="H181">
        <v>50</v>
      </c>
      <c r="I181">
        <v>18</v>
      </c>
      <c r="J181">
        <v>44.57</v>
      </c>
      <c r="K181">
        <v>46.2</v>
      </c>
    </row>
    <row r="182" spans="2:11" x14ac:dyDescent="0.3">
      <c r="B182">
        <v>50</v>
      </c>
      <c r="C182">
        <v>48</v>
      </c>
      <c r="D182">
        <v>47.98</v>
      </c>
      <c r="E182">
        <v>50.57</v>
      </c>
      <c r="H182">
        <v>50</v>
      </c>
      <c r="I182">
        <v>27</v>
      </c>
      <c r="J182">
        <v>46.37</v>
      </c>
      <c r="K182">
        <v>48.5</v>
      </c>
    </row>
    <row r="183" spans="2:11" x14ac:dyDescent="0.3">
      <c r="B183">
        <v>50</v>
      </c>
      <c r="C183">
        <v>60</v>
      </c>
      <c r="D183">
        <v>45.65</v>
      </c>
      <c r="E183">
        <v>48.09</v>
      </c>
      <c r="H183">
        <v>50</v>
      </c>
      <c r="I183">
        <v>48</v>
      </c>
      <c r="J183">
        <v>47.98</v>
      </c>
      <c r="K183">
        <v>50.57</v>
      </c>
    </row>
    <row r="184" spans="2:11" x14ac:dyDescent="0.3">
      <c r="H184">
        <v>50</v>
      </c>
      <c r="I184">
        <v>60</v>
      </c>
      <c r="J184">
        <v>45.65</v>
      </c>
      <c r="K184">
        <v>48.09</v>
      </c>
    </row>
  </sheetData>
  <mergeCells count="3">
    <mergeCell ref="C10:J10"/>
    <mergeCell ref="C22:K22"/>
    <mergeCell ref="M22:Q22"/>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AAE1-2EE2-4583-80C7-E861074A5729}">
  <sheetPr>
    <tabColor theme="5" tint="0.59999389629810485"/>
  </sheetPr>
  <dimension ref="A1:M30"/>
  <sheetViews>
    <sheetView workbookViewId="0">
      <selection activeCell="G54" sqref="G54"/>
    </sheetView>
  </sheetViews>
  <sheetFormatPr defaultRowHeight="14.4" x14ac:dyDescent="0.3"/>
  <cols>
    <col min="3" max="3" width="27.33203125" customWidth="1"/>
    <col min="9" max="9" width="7.44140625" customWidth="1"/>
    <col min="10" max="10" width="22" customWidth="1"/>
    <col min="11" max="11" width="12.44140625" customWidth="1"/>
    <col min="12" max="12" width="19.21875" customWidth="1"/>
    <col min="13" max="13" width="19.6640625" customWidth="1"/>
    <col min="14" max="14" width="16.6640625" customWidth="1"/>
  </cols>
  <sheetData>
    <row r="1" spans="1:8" ht="15" thickBot="1" x14ac:dyDescent="0.35">
      <c r="A1" t="s">
        <v>892</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62">
        <v>10000</v>
      </c>
      <c r="D12" t="s">
        <v>891</v>
      </c>
    </row>
    <row r="13" spans="1:8" x14ac:dyDescent="0.3">
      <c r="D13" t="s">
        <v>890</v>
      </c>
    </row>
    <row r="14" spans="1:8" x14ac:dyDescent="0.3">
      <c r="D14" t="s">
        <v>889</v>
      </c>
    </row>
    <row r="15" spans="1:8" x14ac:dyDescent="0.3">
      <c r="D15" t="s">
        <v>888</v>
      </c>
    </row>
    <row r="16" spans="1:8" x14ac:dyDescent="0.3">
      <c r="D16" t="s">
        <v>887</v>
      </c>
    </row>
    <row r="17" spans="3:13" x14ac:dyDescent="0.3">
      <c r="D17" t="s">
        <v>886</v>
      </c>
    </row>
    <row r="21" spans="3:13" ht="15" thickBot="1" x14ac:dyDescent="0.35"/>
    <row r="22" spans="3:13" ht="15" thickBot="1" x14ac:dyDescent="0.35">
      <c r="C22" s="399" t="s">
        <v>10</v>
      </c>
      <c r="D22" s="400"/>
      <c r="E22" s="400"/>
      <c r="F22" s="400"/>
      <c r="G22" s="401"/>
      <c r="I22" s="399" t="s">
        <v>0</v>
      </c>
      <c r="J22" s="400"/>
      <c r="K22" s="400"/>
      <c r="L22" s="400"/>
      <c r="M22" s="401"/>
    </row>
    <row r="24" spans="3:13" x14ac:dyDescent="0.3">
      <c r="C24" t="s">
        <v>885</v>
      </c>
      <c r="D24" s="284">
        <v>1</v>
      </c>
    </row>
    <row r="25" spans="3:13" x14ac:dyDescent="0.3">
      <c r="C25" t="s">
        <v>884</v>
      </c>
      <c r="D25" s="284">
        <v>0.85</v>
      </c>
    </row>
    <row r="26" spans="3:13" x14ac:dyDescent="0.3">
      <c r="C26" t="s">
        <v>883</v>
      </c>
      <c r="D26" s="284">
        <v>0</v>
      </c>
    </row>
    <row r="27" spans="3:13" x14ac:dyDescent="0.3">
      <c r="C27" t="s">
        <v>882</v>
      </c>
      <c r="D27" s="285">
        <v>10</v>
      </c>
    </row>
    <row r="28" spans="3:13" x14ac:dyDescent="0.3">
      <c r="C28" t="s">
        <v>881</v>
      </c>
      <c r="D28" s="284">
        <v>0.05</v>
      </c>
    </row>
    <row r="29" spans="3:13" x14ac:dyDescent="0.3">
      <c r="C29" t="s">
        <v>880</v>
      </c>
      <c r="D29" s="285">
        <v>0</v>
      </c>
    </row>
    <row r="30" spans="3:13" x14ac:dyDescent="0.3">
      <c r="C30" t="s">
        <v>879</v>
      </c>
      <c r="D30" s="284">
        <v>0.04</v>
      </c>
    </row>
  </sheetData>
  <mergeCells count="3">
    <mergeCell ref="C10:F10"/>
    <mergeCell ref="C22:G22"/>
    <mergeCell ref="I22:M22"/>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A095-A6BE-4C01-8E95-8F7FD17AB3E3}">
  <sheetPr>
    <tabColor theme="9" tint="0.59999389629810485"/>
  </sheetPr>
  <dimension ref="A1:N40"/>
  <sheetViews>
    <sheetView workbookViewId="0">
      <selection activeCell="N47" sqref="N47"/>
    </sheetView>
  </sheetViews>
  <sheetFormatPr defaultRowHeight="14.4" x14ac:dyDescent="0.3"/>
  <cols>
    <col min="3" max="3" width="27.33203125" customWidth="1"/>
    <col min="9" max="9" width="7.44140625" customWidth="1"/>
    <col min="10" max="10" width="22" customWidth="1"/>
    <col min="11" max="11" width="12.44140625" customWidth="1"/>
    <col min="12" max="12" width="19.21875" customWidth="1"/>
    <col min="13" max="13" width="19.6640625" customWidth="1"/>
    <col min="14" max="14" width="16.6640625" customWidth="1"/>
  </cols>
  <sheetData>
    <row r="1" spans="1:8" ht="15" thickBot="1" x14ac:dyDescent="0.35">
      <c r="A1" t="s">
        <v>892</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62">
        <v>10000</v>
      </c>
      <c r="D12" t="s">
        <v>891</v>
      </c>
    </row>
    <row r="13" spans="1:8" x14ac:dyDescent="0.3">
      <c r="D13" t="s">
        <v>890</v>
      </c>
    </row>
    <row r="14" spans="1:8" x14ac:dyDescent="0.3">
      <c r="D14" t="s">
        <v>889</v>
      </c>
    </row>
    <row r="15" spans="1:8" x14ac:dyDescent="0.3">
      <c r="D15" t="s">
        <v>888</v>
      </c>
    </row>
    <row r="16" spans="1:8" x14ac:dyDescent="0.3">
      <c r="D16" t="s">
        <v>887</v>
      </c>
    </row>
    <row r="17" spans="3:14" x14ac:dyDescent="0.3">
      <c r="D17" t="s">
        <v>886</v>
      </c>
    </row>
    <row r="21" spans="3:14" ht="15" thickBot="1" x14ac:dyDescent="0.35"/>
    <row r="22" spans="3:14" ht="15" thickBot="1" x14ac:dyDescent="0.35">
      <c r="C22" s="399" t="s">
        <v>10</v>
      </c>
      <c r="D22" s="400"/>
      <c r="E22" s="400"/>
      <c r="F22" s="400"/>
      <c r="G22" s="401"/>
      <c r="I22" s="399" t="s">
        <v>0</v>
      </c>
      <c r="J22" s="400"/>
      <c r="K22" s="400"/>
      <c r="L22" s="400"/>
      <c r="M22" s="401"/>
    </row>
    <row r="24" spans="3:14" x14ac:dyDescent="0.3">
      <c r="C24" t="s">
        <v>885</v>
      </c>
      <c r="D24" s="284">
        <v>1</v>
      </c>
      <c r="J24" s="93"/>
      <c r="K24" s="93"/>
      <c r="L24" s="325"/>
      <c r="M24" s="325"/>
      <c r="N24" s="93"/>
    </row>
    <row r="25" spans="3:14" x14ac:dyDescent="0.3">
      <c r="C25" t="s">
        <v>884</v>
      </c>
      <c r="D25" s="284">
        <v>0.85</v>
      </c>
      <c r="I25" s="324" t="s">
        <v>1048</v>
      </c>
      <c r="J25" s="324" t="s">
        <v>1047</v>
      </c>
      <c r="K25" s="324" t="s">
        <v>1046</v>
      </c>
      <c r="L25" s="324" t="s">
        <v>39</v>
      </c>
      <c r="M25" s="324" t="s">
        <v>1045</v>
      </c>
      <c r="N25" s="324" t="s">
        <v>1044</v>
      </c>
    </row>
    <row r="26" spans="3:14" x14ac:dyDescent="0.3">
      <c r="C26" t="s">
        <v>883</v>
      </c>
      <c r="D26" s="284">
        <v>0</v>
      </c>
      <c r="I26" s="322">
        <v>0</v>
      </c>
      <c r="J26" s="321">
        <f>D24</f>
        <v>1</v>
      </c>
      <c r="K26" s="320">
        <f t="shared" ref="K26:K34" si="0">(1+$D$30)^-I26</f>
        <v>1</v>
      </c>
      <c r="L26" s="319">
        <v>0</v>
      </c>
      <c r="M26" s="319">
        <f t="shared" ref="M26:M34" si="1">L26*K26*J26</f>
        <v>0</v>
      </c>
      <c r="N26" s="323">
        <f t="shared" ref="N26:N33" si="2">J26*K26</f>
        <v>1</v>
      </c>
    </row>
    <row r="27" spans="3:14" x14ac:dyDescent="0.3">
      <c r="C27" t="s">
        <v>882</v>
      </c>
      <c r="D27" s="285">
        <v>10</v>
      </c>
      <c r="I27" s="322">
        <v>1</v>
      </c>
      <c r="J27" s="321">
        <f t="shared" ref="J27:J34" si="3">$D$25^(I27-1)</f>
        <v>1</v>
      </c>
      <c r="K27" s="320">
        <f t="shared" si="0"/>
        <v>0.96153846153846145</v>
      </c>
      <c r="L27" s="319">
        <f t="shared" ref="L27:L34" si="4">($D$27*1000000/$C$12)*(1+$D$28)^(I27-1)</f>
        <v>1000</v>
      </c>
      <c r="M27" s="319">
        <f t="shared" si="1"/>
        <v>961.53846153846143</v>
      </c>
      <c r="N27" s="323">
        <f t="shared" si="2"/>
        <v>0.96153846153846145</v>
      </c>
    </row>
    <row r="28" spans="3:14" x14ac:dyDescent="0.3">
      <c r="C28" t="s">
        <v>881</v>
      </c>
      <c r="D28" s="284">
        <v>0.05</v>
      </c>
      <c r="I28" s="322">
        <v>2</v>
      </c>
      <c r="J28" s="321">
        <f t="shared" si="3"/>
        <v>0.85</v>
      </c>
      <c r="K28" s="320">
        <f t="shared" si="0"/>
        <v>0.92455621301775137</v>
      </c>
      <c r="L28" s="319">
        <f t="shared" si="4"/>
        <v>1050</v>
      </c>
      <c r="M28" s="319">
        <f t="shared" si="1"/>
        <v>825.16642011834313</v>
      </c>
      <c r="N28" s="323">
        <f t="shared" si="2"/>
        <v>0.78587278106508862</v>
      </c>
    </row>
    <row r="29" spans="3:14" x14ac:dyDescent="0.3">
      <c r="C29" t="s">
        <v>880</v>
      </c>
      <c r="D29" s="285">
        <v>0</v>
      </c>
      <c r="I29" s="322">
        <v>3</v>
      </c>
      <c r="J29" s="321">
        <f t="shared" si="3"/>
        <v>0.72249999999999992</v>
      </c>
      <c r="K29" s="320">
        <f t="shared" si="0"/>
        <v>0.88899635867091487</v>
      </c>
      <c r="L29" s="319">
        <f t="shared" si="4"/>
        <v>1102.5</v>
      </c>
      <c r="M29" s="319">
        <f t="shared" si="1"/>
        <v>708.13560572655888</v>
      </c>
      <c r="N29" s="323">
        <f t="shared" si="2"/>
        <v>0.64229986913973591</v>
      </c>
    </row>
    <row r="30" spans="3:14" x14ac:dyDescent="0.3">
      <c r="C30" t="s">
        <v>879</v>
      </c>
      <c r="D30" s="284">
        <v>0.04</v>
      </c>
      <c r="I30" s="322">
        <v>4</v>
      </c>
      <c r="J30" s="321">
        <f t="shared" si="3"/>
        <v>0.61412499999999992</v>
      </c>
      <c r="K30" s="320">
        <f t="shared" si="0"/>
        <v>0.85480419102972571</v>
      </c>
      <c r="L30" s="319">
        <f t="shared" si="4"/>
        <v>1157.6250000000002</v>
      </c>
      <c r="M30" s="319">
        <f t="shared" si="1"/>
        <v>607.70291164514788</v>
      </c>
      <c r="N30" s="323">
        <f t="shared" si="2"/>
        <v>0.52495662381613029</v>
      </c>
    </row>
    <row r="31" spans="3:14" x14ac:dyDescent="0.3">
      <c r="I31" s="322">
        <v>5</v>
      </c>
      <c r="J31" s="321">
        <f t="shared" si="3"/>
        <v>0.52200624999999989</v>
      </c>
      <c r="K31" s="320">
        <f t="shared" si="0"/>
        <v>0.82192710675935154</v>
      </c>
      <c r="L31" s="319">
        <f t="shared" si="4"/>
        <v>1215.5062499999999</v>
      </c>
      <c r="M31" s="319">
        <f t="shared" si="1"/>
        <v>521.5142775416291</v>
      </c>
      <c r="N31" s="323">
        <f t="shared" si="2"/>
        <v>0.42905108677279868</v>
      </c>
    </row>
    <row r="32" spans="3:14" x14ac:dyDescent="0.3">
      <c r="I32" s="322">
        <v>6</v>
      </c>
      <c r="J32" s="321">
        <f t="shared" si="3"/>
        <v>0.44370531249999989</v>
      </c>
      <c r="K32" s="320">
        <f t="shared" si="0"/>
        <v>0.79031452573014571</v>
      </c>
      <c r="L32" s="319">
        <f t="shared" si="4"/>
        <v>1276.2815625000001</v>
      </c>
      <c r="M32" s="319">
        <f t="shared" si="1"/>
        <v>447.54951221721535</v>
      </c>
      <c r="N32" s="323">
        <f t="shared" si="2"/>
        <v>0.35066675361238353</v>
      </c>
    </row>
    <row r="33" spans="9:14" x14ac:dyDescent="0.3">
      <c r="I33" s="322">
        <v>7</v>
      </c>
      <c r="J33" s="321">
        <f t="shared" si="3"/>
        <v>0.37714951562499988</v>
      </c>
      <c r="K33" s="320">
        <f t="shared" si="0"/>
        <v>0.75991781320206331</v>
      </c>
      <c r="L33" s="319">
        <f t="shared" si="4"/>
        <v>1340.095640625</v>
      </c>
      <c r="M33" s="319">
        <f t="shared" si="1"/>
        <v>384.07494197486994</v>
      </c>
      <c r="N33" s="323">
        <f t="shared" si="2"/>
        <v>0.28660263516396733</v>
      </c>
    </row>
    <row r="34" spans="9:14" x14ac:dyDescent="0.3">
      <c r="I34" s="322">
        <v>8</v>
      </c>
      <c r="J34" s="321">
        <f t="shared" si="3"/>
        <v>0.32057708828124987</v>
      </c>
      <c r="K34" s="320">
        <f t="shared" si="0"/>
        <v>0.73069020500198378</v>
      </c>
      <c r="L34" s="319">
        <f t="shared" si="4"/>
        <v>1407.1004226562502</v>
      </c>
      <c r="M34" s="319">
        <f t="shared" si="1"/>
        <v>329.60277472362628</v>
      </c>
      <c r="N34" s="30"/>
    </row>
    <row r="35" spans="9:14" x14ac:dyDescent="0.3">
      <c r="I35" s="317" t="s">
        <v>522</v>
      </c>
      <c r="M35" s="61">
        <f>SUM(M26:M34)</f>
        <v>4785.2849054858516</v>
      </c>
      <c r="N35" s="318">
        <f>SUM(N26:N33)</f>
        <v>4.9809882111085653</v>
      </c>
    </row>
    <row r="36" spans="9:14" x14ac:dyDescent="0.3">
      <c r="I36" s="317"/>
    </row>
    <row r="37" spans="9:14" x14ac:dyDescent="0.3">
      <c r="I37" s="317"/>
    </row>
    <row r="38" spans="9:14" ht="15.6" x14ac:dyDescent="0.3">
      <c r="I38" s="316"/>
    </row>
    <row r="39" spans="9:14" x14ac:dyDescent="0.3">
      <c r="I39" t="s">
        <v>1043</v>
      </c>
      <c r="J39" s="315"/>
      <c r="K39" s="314"/>
      <c r="L39" s="314"/>
      <c r="M39" s="313"/>
      <c r="N39" s="61">
        <f>M35/N35</f>
        <v>960.70994402551332</v>
      </c>
    </row>
    <row r="40" spans="9:14" x14ac:dyDescent="0.3">
      <c r="I40" s="312" t="s">
        <v>1042</v>
      </c>
      <c r="N40" s="4">
        <f>N39*$C$12</f>
        <v>9607099.4402551334</v>
      </c>
    </row>
  </sheetData>
  <mergeCells count="3">
    <mergeCell ref="C10:F10"/>
    <mergeCell ref="C22:G22"/>
    <mergeCell ref="I22:M22"/>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15D99-11E8-4E3A-AD0D-6B5AFABC3C24}">
  <sheetPr>
    <tabColor theme="5" tint="0.59999389629810485"/>
  </sheetPr>
  <dimension ref="A1:O72"/>
  <sheetViews>
    <sheetView zoomScaleNormal="100" workbookViewId="0">
      <selection activeCell="G54" sqref="G54"/>
    </sheetView>
  </sheetViews>
  <sheetFormatPr defaultRowHeight="14.4" x14ac:dyDescent="0.3"/>
  <cols>
    <col min="3" max="3" width="11.109375" customWidth="1"/>
    <col min="10" max="10" width="9.109375" bestFit="1" customWidth="1"/>
    <col min="13" max="13" width="12.5546875" customWidth="1"/>
    <col min="14" max="15" width="9.33203125" bestFit="1" customWidth="1"/>
  </cols>
  <sheetData>
    <row r="1" spans="1:11" ht="15" thickBot="1" x14ac:dyDescent="0.35">
      <c r="A1" t="s">
        <v>909</v>
      </c>
      <c r="G1" s="10" t="s">
        <v>16</v>
      </c>
      <c r="H1" s="9"/>
    </row>
    <row r="2" spans="1:11" x14ac:dyDescent="0.3">
      <c r="G2" s="8" t="s">
        <v>15</v>
      </c>
      <c r="H2" s="8"/>
    </row>
    <row r="3" spans="1:11" ht="15" thickBot="1" x14ac:dyDescent="0.35">
      <c r="G3" s="7" t="s">
        <v>14</v>
      </c>
      <c r="H3" s="7"/>
    </row>
    <row r="4" spans="1:11" ht="15.6" thickTop="1" thickBot="1" x14ac:dyDescent="0.35">
      <c r="G4" s="6" t="s">
        <v>13</v>
      </c>
      <c r="H4" s="6"/>
    </row>
    <row r="5" spans="1:11" ht="15" thickTop="1" x14ac:dyDescent="0.3">
      <c r="G5" s="5" t="s">
        <v>12</v>
      </c>
      <c r="H5" s="4"/>
    </row>
    <row r="9" spans="1:11" ht="15" thickBot="1" x14ac:dyDescent="0.35"/>
    <row r="10" spans="1:11" ht="15" thickBot="1" x14ac:dyDescent="0.35">
      <c r="C10" s="399" t="s">
        <v>3</v>
      </c>
      <c r="D10" s="400"/>
      <c r="E10" s="400"/>
      <c r="F10" s="401"/>
    </row>
    <row r="12" spans="1:11" x14ac:dyDescent="0.3">
      <c r="C12" s="283">
        <v>21094</v>
      </c>
      <c r="D12" t="s">
        <v>908</v>
      </c>
      <c r="J12" s="283">
        <v>21094</v>
      </c>
      <c r="K12" t="s">
        <v>908</v>
      </c>
    </row>
    <row r="13" spans="1:11" x14ac:dyDescent="0.3">
      <c r="C13" s="283">
        <v>44652</v>
      </c>
      <c r="D13" t="s">
        <v>907</v>
      </c>
      <c r="J13" s="283">
        <v>44652</v>
      </c>
      <c r="K13" t="s">
        <v>907</v>
      </c>
    </row>
    <row r="14" spans="1:11" x14ac:dyDescent="0.3">
      <c r="C14" s="41">
        <v>2500</v>
      </c>
      <c r="D14" t="s">
        <v>906</v>
      </c>
      <c r="J14" s="41">
        <v>2500</v>
      </c>
      <c r="K14" t="s">
        <v>905</v>
      </c>
    </row>
    <row r="15" spans="1:11" x14ac:dyDescent="0.3">
      <c r="C15" s="73">
        <v>0.04</v>
      </c>
      <c r="D15" t="s">
        <v>904</v>
      </c>
      <c r="J15" s="73">
        <v>0.04</v>
      </c>
      <c r="K15" t="s">
        <v>904</v>
      </c>
    </row>
    <row r="16" spans="1:11" x14ac:dyDescent="0.3">
      <c r="C16">
        <v>3</v>
      </c>
      <c r="D16" t="s">
        <v>903</v>
      </c>
      <c r="J16">
        <v>3</v>
      </c>
      <c r="K16" t="s">
        <v>903</v>
      </c>
    </row>
    <row r="17" spans="1:15" x14ac:dyDescent="0.3">
      <c r="C17">
        <v>65</v>
      </c>
      <c r="D17" t="s">
        <v>902</v>
      </c>
      <c r="J17">
        <v>65</v>
      </c>
      <c r="K17" t="s">
        <v>902</v>
      </c>
    </row>
    <row r="18" spans="1:15" x14ac:dyDescent="0.3">
      <c r="D18" t="s">
        <v>901</v>
      </c>
      <c r="J18" t="s">
        <v>900</v>
      </c>
      <c r="K18" t="s">
        <v>899</v>
      </c>
    </row>
    <row r="20" spans="1:15" x14ac:dyDescent="0.3">
      <c r="A20" s="2"/>
      <c r="B20" s="2" t="s">
        <v>58</v>
      </c>
      <c r="C20" s="2"/>
      <c r="D20" s="2"/>
      <c r="E20" s="2"/>
      <c r="F20" s="2"/>
      <c r="G20" s="2"/>
      <c r="H20" s="2"/>
      <c r="I20" s="2"/>
      <c r="J20" s="2"/>
      <c r="K20" s="2"/>
      <c r="L20" s="2"/>
      <c r="M20" s="2"/>
      <c r="N20" s="2"/>
      <c r="O20" s="2"/>
    </row>
    <row r="21" spans="1:15" ht="15" thickBot="1" x14ac:dyDescent="0.35"/>
    <row r="22" spans="1:15" ht="15" thickBot="1" x14ac:dyDescent="0.35">
      <c r="C22" s="399" t="s">
        <v>10</v>
      </c>
      <c r="D22" s="400"/>
      <c r="E22" s="400"/>
      <c r="F22" s="400"/>
      <c r="G22" s="401"/>
      <c r="I22" s="399" t="s">
        <v>0</v>
      </c>
      <c r="J22" s="400"/>
      <c r="K22" s="400"/>
      <c r="L22" s="400"/>
      <c r="M22" s="401"/>
    </row>
    <row r="24" spans="1:15" x14ac:dyDescent="0.3">
      <c r="C24" s="35" t="s">
        <v>898</v>
      </c>
      <c r="D24" t="s">
        <v>897</v>
      </c>
    </row>
    <row r="25" spans="1:15" x14ac:dyDescent="0.3">
      <c r="D25">
        <v>63</v>
      </c>
      <c r="E25">
        <v>64</v>
      </c>
      <c r="F25">
        <v>65</v>
      </c>
    </row>
    <row r="26" spans="1:15" x14ac:dyDescent="0.3">
      <c r="C26">
        <v>0</v>
      </c>
      <c r="D26" s="62">
        <v>1000</v>
      </c>
      <c r="E26" s="62">
        <v>1000</v>
      </c>
      <c r="F26" s="62">
        <v>1000</v>
      </c>
    </row>
    <row r="27" spans="1:15" x14ac:dyDescent="0.3">
      <c r="C27">
        <v>1</v>
      </c>
      <c r="D27">
        <v>975</v>
      </c>
      <c r="E27">
        <v>950</v>
      </c>
      <c r="F27">
        <v>900</v>
      </c>
    </row>
    <row r="28" spans="1:15" x14ac:dyDescent="0.3">
      <c r="C28">
        <v>2</v>
      </c>
      <c r="D28">
        <v>950</v>
      </c>
      <c r="E28">
        <v>900</v>
      </c>
      <c r="F28">
        <v>800</v>
      </c>
    </row>
    <row r="29" spans="1:15" x14ac:dyDescent="0.3">
      <c r="C29">
        <v>3</v>
      </c>
      <c r="D29">
        <v>925</v>
      </c>
      <c r="E29">
        <v>850</v>
      </c>
      <c r="F29">
        <v>700</v>
      </c>
    </row>
    <row r="30" spans="1:15" x14ac:dyDescent="0.3">
      <c r="C30">
        <v>4</v>
      </c>
      <c r="D30">
        <v>900</v>
      </c>
      <c r="E30">
        <v>800</v>
      </c>
      <c r="F30">
        <v>600</v>
      </c>
    </row>
    <row r="31" spans="1:15" x14ac:dyDescent="0.3">
      <c r="C31">
        <v>5</v>
      </c>
      <c r="D31">
        <v>875</v>
      </c>
      <c r="E31">
        <v>750</v>
      </c>
      <c r="F31">
        <v>500</v>
      </c>
    </row>
    <row r="32" spans="1:15" x14ac:dyDescent="0.3">
      <c r="C32">
        <v>6</v>
      </c>
      <c r="D32">
        <v>850</v>
      </c>
      <c r="E32">
        <v>700</v>
      </c>
      <c r="F32">
        <v>400</v>
      </c>
    </row>
    <row r="33" spans="3:6" x14ac:dyDescent="0.3">
      <c r="C33">
        <v>7</v>
      </c>
      <c r="D33">
        <v>825</v>
      </c>
      <c r="E33">
        <v>650</v>
      </c>
      <c r="F33">
        <v>300</v>
      </c>
    </row>
    <row r="34" spans="3:6" x14ac:dyDescent="0.3">
      <c r="C34">
        <v>8</v>
      </c>
      <c r="D34">
        <v>800</v>
      </c>
      <c r="E34">
        <v>600</v>
      </c>
      <c r="F34">
        <v>200</v>
      </c>
    </row>
    <row r="35" spans="3:6" x14ac:dyDescent="0.3">
      <c r="C35">
        <v>9</v>
      </c>
      <c r="D35">
        <v>775</v>
      </c>
      <c r="E35">
        <v>550</v>
      </c>
      <c r="F35">
        <v>100</v>
      </c>
    </row>
    <row r="49" spans="1:8" x14ac:dyDescent="0.3">
      <c r="A49" s="2"/>
      <c r="B49" s="2" t="s">
        <v>896</v>
      </c>
      <c r="C49" s="2"/>
      <c r="D49" s="2"/>
      <c r="E49" s="2"/>
      <c r="F49" s="2"/>
      <c r="G49" s="2"/>
      <c r="H49" s="2"/>
    </row>
    <row r="67" spans="1:8" x14ac:dyDescent="0.3">
      <c r="A67" s="2"/>
      <c r="B67" s="2" t="s">
        <v>303</v>
      </c>
      <c r="C67" s="2"/>
      <c r="D67" s="2"/>
      <c r="E67" s="2"/>
      <c r="F67" s="2"/>
      <c r="G67" s="2"/>
      <c r="H67" s="2"/>
    </row>
    <row r="70" spans="1:8" x14ac:dyDescent="0.3">
      <c r="B70" t="s">
        <v>895</v>
      </c>
      <c r="C70" t="s">
        <v>894</v>
      </c>
    </row>
    <row r="71" spans="1:8" x14ac:dyDescent="0.3">
      <c r="B71" t="s">
        <v>893</v>
      </c>
      <c r="C71">
        <v>0.9</v>
      </c>
    </row>
    <row r="72" spans="1:8" x14ac:dyDescent="0.3">
      <c r="B72" t="s">
        <v>112</v>
      </c>
      <c r="C72">
        <v>0.72</v>
      </c>
    </row>
  </sheetData>
  <mergeCells count="3">
    <mergeCell ref="C10:F10"/>
    <mergeCell ref="C22:G22"/>
    <mergeCell ref="I22:M22"/>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F8EF-DA1C-487D-AC8C-80E0363CBB03}">
  <sheetPr>
    <tabColor theme="9" tint="0.59999389629810485"/>
  </sheetPr>
  <dimension ref="A1:T85"/>
  <sheetViews>
    <sheetView zoomScaleNormal="100" workbookViewId="0">
      <selection activeCell="N47" sqref="N47"/>
    </sheetView>
  </sheetViews>
  <sheetFormatPr defaultRowHeight="14.4" x14ac:dyDescent="0.3"/>
  <cols>
    <col min="3" max="3" width="11.109375" customWidth="1"/>
    <col min="10" max="10" width="9.109375" bestFit="1" customWidth="1"/>
    <col min="13" max="13" width="12.5546875" customWidth="1"/>
    <col min="14" max="15" width="9.33203125" bestFit="1" customWidth="1"/>
  </cols>
  <sheetData>
    <row r="1" spans="1:11" ht="15" thickBot="1" x14ac:dyDescent="0.35">
      <c r="A1" t="s">
        <v>909</v>
      </c>
      <c r="G1" s="10" t="s">
        <v>16</v>
      </c>
      <c r="H1" s="9"/>
    </row>
    <row r="2" spans="1:11" x14ac:dyDescent="0.3">
      <c r="G2" s="8" t="s">
        <v>15</v>
      </c>
      <c r="H2" s="8"/>
    </row>
    <row r="3" spans="1:11" ht="15" thickBot="1" x14ac:dyDescent="0.35">
      <c r="G3" s="7" t="s">
        <v>14</v>
      </c>
      <c r="H3" s="7"/>
    </row>
    <row r="4" spans="1:11" ht="15.6" thickTop="1" thickBot="1" x14ac:dyDescent="0.35">
      <c r="G4" s="6" t="s">
        <v>13</v>
      </c>
      <c r="H4" s="6"/>
    </row>
    <row r="5" spans="1:11" ht="15" thickTop="1" x14ac:dyDescent="0.3">
      <c r="G5" s="5" t="s">
        <v>12</v>
      </c>
      <c r="H5" s="4"/>
    </row>
    <row r="9" spans="1:11" ht="15" thickBot="1" x14ac:dyDescent="0.35"/>
    <row r="10" spans="1:11" ht="15" thickBot="1" x14ac:dyDescent="0.35">
      <c r="C10" s="399" t="s">
        <v>3</v>
      </c>
      <c r="D10" s="400"/>
      <c r="E10" s="400"/>
      <c r="F10" s="401"/>
    </row>
    <row r="12" spans="1:11" x14ac:dyDescent="0.3">
      <c r="C12" s="283">
        <v>21094</v>
      </c>
      <c r="D12" t="s">
        <v>908</v>
      </c>
      <c r="J12" s="283">
        <v>21094</v>
      </c>
      <c r="K12" t="s">
        <v>908</v>
      </c>
    </row>
    <row r="13" spans="1:11" x14ac:dyDescent="0.3">
      <c r="C13" s="283">
        <v>44652</v>
      </c>
      <c r="D13" t="s">
        <v>907</v>
      </c>
      <c r="J13" s="283">
        <v>44652</v>
      </c>
      <c r="K13" t="s">
        <v>907</v>
      </c>
    </row>
    <row r="14" spans="1:11" x14ac:dyDescent="0.3">
      <c r="C14" s="41">
        <v>2500</v>
      </c>
      <c r="D14" t="s">
        <v>906</v>
      </c>
      <c r="J14" s="41">
        <v>2500</v>
      </c>
      <c r="K14" t="s">
        <v>905</v>
      </c>
    </row>
    <row r="15" spans="1:11" x14ac:dyDescent="0.3">
      <c r="C15" s="73">
        <v>0.04</v>
      </c>
      <c r="D15" t="s">
        <v>904</v>
      </c>
      <c r="J15" s="73">
        <v>0.04</v>
      </c>
      <c r="K15" t="s">
        <v>904</v>
      </c>
    </row>
    <row r="16" spans="1:11" x14ac:dyDescent="0.3">
      <c r="C16">
        <v>3</v>
      </c>
      <c r="D16" t="s">
        <v>903</v>
      </c>
      <c r="J16">
        <v>3</v>
      </c>
      <c r="K16" t="s">
        <v>903</v>
      </c>
    </row>
    <row r="17" spans="1:15" x14ac:dyDescent="0.3">
      <c r="C17">
        <v>65</v>
      </c>
      <c r="D17" t="s">
        <v>902</v>
      </c>
      <c r="J17">
        <v>65</v>
      </c>
      <c r="K17" t="s">
        <v>902</v>
      </c>
    </row>
    <row r="18" spans="1:15" x14ac:dyDescent="0.3">
      <c r="D18" t="s">
        <v>901</v>
      </c>
      <c r="J18" t="s">
        <v>900</v>
      </c>
      <c r="K18" t="s">
        <v>899</v>
      </c>
    </row>
    <row r="20" spans="1:15" x14ac:dyDescent="0.3">
      <c r="A20" s="2"/>
      <c r="B20" s="2" t="s">
        <v>58</v>
      </c>
      <c r="C20" s="2"/>
      <c r="D20" s="2"/>
      <c r="E20" s="2"/>
      <c r="F20" s="2"/>
      <c r="G20" s="2"/>
      <c r="H20" s="2"/>
      <c r="I20" s="2"/>
      <c r="J20" s="2"/>
      <c r="K20" s="2"/>
      <c r="L20" s="2"/>
      <c r="M20" s="2"/>
      <c r="N20" s="2"/>
      <c r="O20" s="2"/>
    </row>
    <row r="21" spans="1:15" ht="15" thickBot="1" x14ac:dyDescent="0.35"/>
    <row r="22" spans="1:15" ht="15" thickBot="1" x14ac:dyDescent="0.35">
      <c r="C22" s="399" t="s">
        <v>10</v>
      </c>
      <c r="D22" s="400"/>
      <c r="E22" s="400"/>
      <c r="F22" s="400"/>
      <c r="G22" s="401"/>
      <c r="I22" s="399" t="s">
        <v>0</v>
      </c>
      <c r="J22" s="400"/>
      <c r="K22" s="400"/>
      <c r="L22" s="400"/>
      <c r="M22" s="401"/>
    </row>
    <row r="23" spans="1:15" x14ac:dyDescent="0.3">
      <c r="O23" s="283">
        <v>44742</v>
      </c>
    </row>
    <row r="24" spans="1:15" x14ac:dyDescent="0.3">
      <c r="C24" s="35" t="s">
        <v>898</v>
      </c>
      <c r="D24" t="s">
        <v>897</v>
      </c>
      <c r="N24">
        <f>YEARFRAC(C12,O23)</f>
        <v>64.74722222222222</v>
      </c>
      <c r="O24" t="s">
        <v>1058</v>
      </c>
    </row>
    <row r="25" spans="1:15" x14ac:dyDescent="0.3">
      <c r="D25">
        <v>63</v>
      </c>
      <c r="E25">
        <v>64</v>
      </c>
      <c r="F25">
        <v>65</v>
      </c>
      <c r="J25" t="str">
        <f>"Reserve as of 6/30/2022"</f>
        <v>Reserve as of 6/30/2022</v>
      </c>
    </row>
    <row r="26" spans="1:15" x14ac:dyDescent="0.3">
      <c r="C26">
        <v>0</v>
      </c>
      <c r="D26" s="62">
        <v>1000</v>
      </c>
      <c r="E26" s="62">
        <v>1000</v>
      </c>
      <c r="F26" s="62">
        <v>1000</v>
      </c>
      <c r="I26" t="s">
        <v>1056</v>
      </c>
      <c r="J26" t="s">
        <v>444</v>
      </c>
      <c r="K26" t="s">
        <v>549</v>
      </c>
      <c r="L26" t="s">
        <v>1053</v>
      </c>
      <c r="M26" t="s">
        <v>564</v>
      </c>
      <c r="N26" t="s">
        <v>1052</v>
      </c>
    </row>
    <row r="27" spans="1:15" x14ac:dyDescent="0.3">
      <c r="C27">
        <v>1</v>
      </c>
      <c r="D27">
        <v>975</v>
      </c>
      <c r="E27">
        <v>950</v>
      </c>
      <c r="F27">
        <v>900</v>
      </c>
      <c r="I27">
        <v>0.5</v>
      </c>
      <c r="J27">
        <f>$C$14</f>
        <v>2500</v>
      </c>
      <c r="K27" s="122">
        <f>AVERAGE(E29:E30)/$E$29</f>
        <v>0.97058823529411764</v>
      </c>
      <c r="L27" s="122">
        <f>(1+$C$15)^(-I27/12)</f>
        <v>0.99836713819043665</v>
      </c>
      <c r="M27" s="309">
        <f>PRODUCT(J27:L27)</f>
        <v>2422.5084970797361</v>
      </c>
      <c r="N27" s="283">
        <v>44757</v>
      </c>
    </row>
    <row r="28" spans="1:15" x14ac:dyDescent="0.3">
      <c r="C28">
        <v>2</v>
      </c>
      <c r="D28">
        <v>950</v>
      </c>
      <c r="E28">
        <v>900</v>
      </c>
      <c r="F28">
        <v>800</v>
      </c>
      <c r="I28">
        <f>1+I27</f>
        <v>1.5</v>
      </c>
      <c r="J28">
        <f>$C$14</f>
        <v>2500</v>
      </c>
      <c r="K28" s="122">
        <f>AVERAGE(E30:E31)/$E$29</f>
        <v>0.91176470588235292</v>
      </c>
      <c r="L28" s="122">
        <f>(1+$C$15)^(-I28/12)</f>
        <v>0.99510940893077959</v>
      </c>
      <c r="M28" s="309">
        <f>PRODUCT(J28:L28)</f>
        <v>2268.264093886336</v>
      </c>
      <c r="N28" s="283">
        <v>44788</v>
      </c>
    </row>
    <row r="29" spans="1:15" x14ac:dyDescent="0.3">
      <c r="C29">
        <v>3</v>
      </c>
      <c r="D29">
        <v>925</v>
      </c>
      <c r="E29">
        <v>850</v>
      </c>
      <c r="F29">
        <v>700</v>
      </c>
      <c r="I29">
        <f>1+I28</f>
        <v>2.5</v>
      </c>
      <c r="J29">
        <f>$C$14</f>
        <v>2500</v>
      </c>
      <c r="K29" s="122">
        <f>AVERAGE(E31:E32)/$E$29</f>
        <v>0.8529411764705882</v>
      </c>
      <c r="L29" s="122">
        <f>(1+$C$15)^(-I29/12)</f>
        <v>0.99186230982862988</v>
      </c>
      <c r="M29" s="309">
        <f>PRODUCT(J29:L29)</f>
        <v>2115.0005136051668</v>
      </c>
      <c r="N29" s="283">
        <v>44819</v>
      </c>
    </row>
    <row r="30" spans="1:15" x14ac:dyDescent="0.3">
      <c r="C30">
        <v>4</v>
      </c>
      <c r="D30">
        <v>900</v>
      </c>
      <c r="E30">
        <v>800</v>
      </c>
      <c r="F30">
        <v>600</v>
      </c>
      <c r="M30" s="309"/>
    </row>
    <row r="31" spans="1:15" x14ac:dyDescent="0.3">
      <c r="C31">
        <v>5</v>
      </c>
      <c r="D31">
        <v>875</v>
      </c>
      <c r="E31">
        <v>750</v>
      </c>
      <c r="F31">
        <v>500</v>
      </c>
      <c r="M31" s="4">
        <f>SUMPRODUCT(J27:J29,K27:K29,L27:L29)</f>
        <v>6805.7731045712389</v>
      </c>
    </row>
    <row r="32" spans="1:15" x14ac:dyDescent="0.3">
      <c r="C32">
        <v>6</v>
      </c>
      <c r="D32">
        <v>850</v>
      </c>
      <c r="E32">
        <v>700</v>
      </c>
      <c r="F32">
        <v>400</v>
      </c>
    </row>
    <row r="33" spans="3:14" x14ac:dyDescent="0.3">
      <c r="C33">
        <v>7</v>
      </c>
      <c r="D33">
        <v>825</v>
      </c>
      <c r="E33">
        <v>650</v>
      </c>
      <c r="F33">
        <v>300</v>
      </c>
      <c r="J33" t="str">
        <f>"Reserve as of 7/31/2022"</f>
        <v>Reserve as of 7/31/2022</v>
      </c>
    </row>
    <row r="34" spans="3:14" x14ac:dyDescent="0.3">
      <c r="C34">
        <v>8</v>
      </c>
      <c r="D34">
        <v>800</v>
      </c>
      <c r="E34">
        <v>600</v>
      </c>
      <c r="F34">
        <v>200</v>
      </c>
      <c r="I34" t="s">
        <v>1056</v>
      </c>
      <c r="J34" t="s">
        <v>444</v>
      </c>
      <c r="K34" t="s">
        <v>549</v>
      </c>
      <c r="L34" t="s">
        <v>1053</v>
      </c>
      <c r="M34" t="s">
        <v>564</v>
      </c>
      <c r="N34" t="s">
        <v>1052</v>
      </c>
    </row>
    <row r="35" spans="3:14" x14ac:dyDescent="0.3">
      <c r="C35">
        <v>9</v>
      </c>
      <c r="D35">
        <v>775</v>
      </c>
      <c r="E35">
        <v>550</v>
      </c>
      <c r="F35">
        <v>100</v>
      </c>
      <c r="I35">
        <v>0.5</v>
      </c>
      <c r="J35">
        <f>$C$14</f>
        <v>2500</v>
      </c>
      <c r="K35" s="122">
        <f>AVERAGE(E30:E31)/$E$30</f>
        <v>0.96875</v>
      </c>
      <c r="L35" s="122">
        <f>(1+$C$15)^(-I35/12)</f>
        <v>0.99836713819043665</v>
      </c>
      <c r="M35" s="309">
        <f>PRODUCT(J35:L35)</f>
        <v>2417.9204128049637</v>
      </c>
      <c r="N35" s="283">
        <v>44788</v>
      </c>
    </row>
    <row r="36" spans="3:14" x14ac:dyDescent="0.3">
      <c r="I36">
        <f>1+I35</f>
        <v>1.5</v>
      </c>
      <c r="J36">
        <f>$C$14</f>
        <v>2500</v>
      </c>
      <c r="K36" s="122">
        <f>AVERAGE(E31:E32)/$E$30</f>
        <v>0.90625</v>
      </c>
      <c r="L36" s="122">
        <f>(1+$C$15)^(-I36/12)</f>
        <v>0.99510940893077959</v>
      </c>
      <c r="M36" s="309">
        <f>PRODUCT(J36:L36)</f>
        <v>2254.5447546087976</v>
      </c>
      <c r="N36" s="283">
        <v>44819</v>
      </c>
    </row>
    <row r="37" spans="3:14" x14ac:dyDescent="0.3">
      <c r="K37" s="122"/>
      <c r="L37" s="122"/>
      <c r="M37" s="309"/>
    </row>
    <row r="38" spans="3:14" x14ac:dyDescent="0.3">
      <c r="M38" s="309"/>
    </row>
    <row r="39" spans="3:14" x14ac:dyDescent="0.3">
      <c r="M39" s="4">
        <f>SUM(M35:M36)</f>
        <v>4672.4651674137613</v>
      </c>
    </row>
    <row r="41" spans="3:14" x14ac:dyDescent="0.3">
      <c r="J41" t="str">
        <f>"Reserve as of 8/31/2022"</f>
        <v>Reserve as of 8/31/2022</v>
      </c>
    </row>
    <row r="42" spans="3:14" x14ac:dyDescent="0.3">
      <c r="I42" t="s">
        <v>1056</v>
      </c>
      <c r="J42" t="s">
        <v>444</v>
      </c>
      <c r="K42" t="s">
        <v>549</v>
      </c>
      <c r="L42" t="s">
        <v>1053</v>
      </c>
      <c r="M42" t="s">
        <v>564</v>
      </c>
    </row>
    <row r="43" spans="3:14" x14ac:dyDescent="0.3">
      <c r="I43">
        <v>0.5</v>
      </c>
      <c r="J43">
        <f>$C$14</f>
        <v>2500</v>
      </c>
      <c r="K43" s="122">
        <f>AVERAGE(E31:E32)/$E$31</f>
        <v>0.96666666666666667</v>
      </c>
      <c r="L43" s="122">
        <f>(1+$C$15)^(-I43/12)</f>
        <v>0.99836713819043665</v>
      </c>
      <c r="M43" s="309">
        <f>PRODUCT(J43:L43)</f>
        <v>2412.7205839602216</v>
      </c>
    </row>
    <row r="44" spans="3:14" x14ac:dyDescent="0.3">
      <c r="K44" s="122"/>
      <c r="L44" s="122"/>
      <c r="M44" s="309"/>
    </row>
    <row r="45" spans="3:14" x14ac:dyDescent="0.3">
      <c r="K45" s="122"/>
      <c r="L45" s="122"/>
      <c r="M45" s="309"/>
    </row>
    <row r="46" spans="3:14" x14ac:dyDescent="0.3">
      <c r="M46" s="309"/>
    </row>
    <row r="47" spans="3:14" x14ac:dyDescent="0.3">
      <c r="M47" s="4">
        <f>SUMPRODUCT(J43:J45,K43:K45,L43:L45)</f>
        <v>2412.7205839602216</v>
      </c>
    </row>
    <row r="49" spans="1:15" x14ac:dyDescent="0.3">
      <c r="A49" s="2"/>
      <c r="B49" s="2" t="s">
        <v>896</v>
      </c>
      <c r="C49" s="2"/>
      <c r="D49" s="2"/>
      <c r="E49" s="2"/>
      <c r="F49" s="2"/>
      <c r="G49" s="2"/>
      <c r="H49" s="2"/>
      <c r="I49" s="2"/>
      <c r="J49" s="2"/>
      <c r="K49" s="2"/>
      <c r="L49" s="2"/>
      <c r="M49" s="2"/>
      <c r="N49" s="2"/>
      <c r="O49" s="2"/>
    </row>
    <row r="52" spans="1:15" ht="15" thickBot="1" x14ac:dyDescent="0.35"/>
    <row r="53" spans="1:15" ht="15" thickBot="1" x14ac:dyDescent="0.35">
      <c r="I53" s="399" t="s">
        <v>0</v>
      </c>
      <c r="J53" s="400"/>
      <c r="K53" s="400"/>
      <c r="L53" s="400"/>
      <c r="M53" s="401"/>
    </row>
    <row r="56" spans="1:15" x14ac:dyDescent="0.3">
      <c r="J56" t="s">
        <v>1057</v>
      </c>
    </row>
    <row r="57" spans="1:15" x14ac:dyDescent="0.3">
      <c r="I57" t="s">
        <v>1056</v>
      </c>
      <c r="J57" t="s">
        <v>444</v>
      </c>
      <c r="K57" t="s">
        <v>549</v>
      </c>
      <c r="L57" t="s">
        <v>1053</v>
      </c>
      <c r="M57" t="s">
        <v>564</v>
      </c>
      <c r="N57" t="s">
        <v>1052</v>
      </c>
    </row>
    <row r="58" spans="1:15" x14ac:dyDescent="0.3">
      <c r="I58">
        <v>0.5</v>
      </c>
      <c r="J58">
        <f>$C$14</f>
        <v>2500</v>
      </c>
      <c r="K58" s="122">
        <f>AVERAGE(E32:E33)/$E$32</f>
        <v>0.9642857142857143</v>
      </c>
      <c r="L58" s="122">
        <f>(1+$C$15)^(-I58/12)</f>
        <v>0.99836713819043665</v>
      </c>
      <c r="M58" s="309">
        <f>PRODUCT(J58:L58)</f>
        <v>2406.7779224233741</v>
      </c>
      <c r="N58" s="283">
        <v>44788</v>
      </c>
    </row>
    <row r="59" spans="1:15" x14ac:dyDescent="0.3">
      <c r="I59">
        <f>1+I58</f>
        <v>1.5</v>
      </c>
      <c r="J59">
        <f>$C$14</f>
        <v>2500</v>
      </c>
      <c r="K59" s="122">
        <f>AVERAGE(E33:E34)/$E$32</f>
        <v>0.8928571428571429</v>
      </c>
      <c r="L59" s="122">
        <f>(1+$C$15)^(-I59/12)</f>
        <v>0.99510940893077959</v>
      </c>
      <c r="M59" s="309">
        <f>PRODUCT(J59:L59)</f>
        <v>2221.2263592204904</v>
      </c>
      <c r="N59" s="283">
        <v>44819</v>
      </c>
    </row>
    <row r="60" spans="1:15" x14ac:dyDescent="0.3">
      <c r="K60" s="122"/>
      <c r="L60" s="122"/>
      <c r="M60" s="309"/>
    </row>
    <row r="61" spans="1:15" x14ac:dyDescent="0.3">
      <c r="M61" s="309"/>
    </row>
    <row r="62" spans="1:15" x14ac:dyDescent="0.3">
      <c r="M62" s="309">
        <f>SUMPRODUCT(J58:J59,K58:K59,L58:L59)</f>
        <v>4628.0042816438645</v>
      </c>
    </row>
    <row r="64" spans="1:15" x14ac:dyDescent="0.3">
      <c r="L64" s="35" t="s">
        <v>1055</v>
      </c>
      <c r="M64" s="4">
        <f>M39-M62</f>
        <v>44.460885769896777</v>
      </c>
    </row>
    <row r="67" spans="1:15" x14ac:dyDescent="0.3">
      <c r="A67" s="2"/>
      <c r="B67" s="2" t="s">
        <v>303</v>
      </c>
      <c r="C67" s="2"/>
      <c r="D67" s="2"/>
      <c r="E67" s="2"/>
      <c r="F67" s="2"/>
      <c r="G67" s="2"/>
      <c r="H67" s="2"/>
      <c r="I67" s="2"/>
      <c r="J67" s="2"/>
      <c r="K67" s="2"/>
      <c r="L67" s="2"/>
      <c r="M67" s="2"/>
      <c r="N67" s="2"/>
      <c r="O67" s="2"/>
    </row>
    <row r="70" spans="1:15" x14ac:dyDescent="0.3">
      <c r="B70" t="s">
        <v>895</v>
      </c>
      <c r="C70" t="s">
        <v>894</v>
      </c>
    </row>
    <row r="71" spans="1:15" x14ac:dyDescent="0.3">
      <c r="B71" t="s">
        <v>893</v>
      </c>
      <c r="C71">
        <v>0.9</v>
      </c>
      <c r="H71" t="s">
        <v>28</v>
      </c>
      <c r="I71" t="s">
        <v>894</v>
      </c>
      <c r="J71" t="s">
        <v>444</v>
      </c>
      <c r="K71" t="s">
        <v>1054</v>
      </c>
      <c r="L71" t="s">
        <v>1053</v>
      </c>
    </row>
    <row r="72" spans="1:15" x14ac:dyDescent="0.3">
      <c r="B72" t="s">
        <v>112</v>
      </c>
      <c r="C72">
        <v>0.72</v>
      </c>
      <c r="H72">
        <v>0</v>
      </c>
    </row>
    <row r="73" spans="1:15" x14ac:dyDescent="0.3">
      <c r="H73">
        <f t="shared" ref="H73:H78" si="0">1+H72</f>
        <v>1</v>
      </c>
      <c r="J73">
        <v>0</v>
      </c>
      <c r="N73" t="s">
        <v>1052</v>
      </c>
    </row>
    <row r="74" spans="1:15" x14ac:dyDescent="0.3">
      <c r="H74">
        <f t="shared" si="0"/>
        <v>2</v>
      </c>
      <c r="J74">
        <v>0</v>
      </c>
    </row>
    <row r="75" spans="1:15" x14ac:dyDescent="0.3">
      <c r="H75">
        <f t="shared" si="0"/>
        <v>3</v>
      </c>
      <c r="J75">
        <v>0</v>
      </c>
    </row>
    <row r="76" spans="1:15" x14ac:dyDescent="0.3">
      <c r="H76">
        <f t="shared" si="0"/>
        <v>4</v>
      </c>
      <c r="I76">
        <f>$C$71</f>
        <v>0.9</v>
      </c>
      <c r="J76" s="41">
        <f>$C$14</f>
        <v>2500</v>
      </c>
      <c r="K76">
        <f>K77+1</f>
        <v>2.5</v>
      </c>
      <c r="L76">
        <f>(1+$C$15)^(K76/12)</f>
        <v>1.0082044554881575</v>
      </c>
      <c r="M76" s="36">
        <f>J76*L76</f>
        <v>2520.5111387203938</v>
      </c>
      <c r="N76" s="283">
        <v>44696</v>
      </c>
    </row>
    <row r="77" spans="1:15" x14ac:dyDescent="0.3">
      <c r="H77">
        <f t="shared" si="0"/>
        <v>5</v>
      </c>
      <c r="I77">
        <f>$C$71</f>
        <v>0.9</v>
      </c>
      <c r="J77" s="41">
        <f>$C$14</f>
        <v>2500</v>
      </c>
      <c r="K77">
        <f>K78+1</f>
        <v>1.5</v>
      </c>
      <c r="L77">
        <f>(1+$C$15)^(K77/12)</f>
        <v>1.0049146264976785</v>
      </c>
      <c r="M77" s="36">
        <f>J77*L77</f>
        <v>2512.2865662441964</v>
      </c>
      <c r="N77" s="283">
        <v>44727</v>
      </c>
    </row>
    <row r="78" spans="1:15" x14ac:dyDescent="0.3">
      <c r="H78">
        <f t="shared" si="0"/>
        <v>6</v>
      </c>
      <c r="I78">
        <f>$C$72</f>
        <v>0.72</v>
      </c>
      <c r="J78" s="41">
        <f>$C$14</f>
        <v>2500</v>
      </c>
      <c r="K78">
        <v>0.5</v>
      </c>
      <c r="L78">
        <f>(1+$C$15)^(K78/12)</f>
        <v>1.0016355324079707</v>
      </c>
      <c r="M78" s="36">
        <f>J78*L78</f>
        <v>2504.0888310199266</v>
      </c>
      <c r="N78" s="283">
        <v>44757</v>
      </c>
    </row>
    <row r="79" spans="1:15" x14ac:dyDescent="0.3">
      <c r="N79" s="283"/>
    </row>
    <row r="80" spans="1:15" x14ac:dyDescent="0.3">
      <c r="N80" s="283"/>
    </row>
    <row r="81" spans="13:20" x14ac:dyDescent="0.3">
      <c r="M81" s="36">
        <f>SUMPRODUCT(M76:M78,I76:I78)</f>
        <v>6332.4618928024784</v>
      </c>
      <c r="N81" s="8" t="s">
        <v>1051</v>
      </c>
      <c r="O81" s="8"/>
      <c r="P81" s="8"/>
      <c r="Q81" s="8"/>
      <c r="R81" s="8"/>
      <c r="S81" s="8"/>
      <c r="T81" s="8"/>
    </row>
    <row r="83" spans="13:20" x14ac:dyDescent="0.3">
      <c r="M83" s="36">
        <f>+M62*C72</f>
        <v>3332.1630827835825</v>
      </c>
      <c r="N83" s="8" t="s">
        <v>1050</v>
      </c>
      <c r="O83" s="8"/>
      <c r="P83" s="8"/>
      <c r="Q83" s="8"/>
    </row>
    <row r="85" spans="13:20" x14ac:dyDescent="0.3">
      <c r="M85" s="4">
        <f>M83+M81</f>
        <v>9664.6249755860608</v>
      </c>
      <c r="N85" t="s">
        <v>1049</v>
      </c>
    </row>
  </sheetData>
  <mergeCells count="4">
    <mergeCell ref="C10:F10"/>
    <mergeCell ref="C22:G22"/>
    <mergeCell ref="I22:M22"/>
    <mergeCell ref="I53:M53"/>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A069-236C-49DF-A06D-A104A9F22A4A}">
  <sheetPr>
    <tabColor theme="5" tint="0.59999389629810485"/>
  </sheetPr>
  <dimension ref="A1:M44"/>
  <sheetViews>
    <sheetView workbookViewId="0">
      <selection activeCell="G54" sqref="G54"/>
    </sheetView>
  </sheetViews>
  <sheetFormatPr defaultRowHeight="14.4" x14ac:dyDescent="0.3"/>
  <cols>
    <col min="18" max="18" width="11.5546875" customWidth="1"/>
    <col min="27" max="27" width="12.6640625" customWidth="1"/>
  </cols>
  <sheetData>
    <row r="1" spans="1:8" ht="15" thickBot="1" x14ac:dyDescent="0.35">
      <c r="A1" t="s">
        <v>920</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1</v>
      </c>
      <c r="D12" t="s">
        <v>919</v>
      </c>
    </row>
    <row r="13" spans="1:8" x14ac:dyDescent="0.3">
      <c r="C13">
        <v>6</v>
      </c>
      <c r="D13" t="s">
        <v>918</v>
      </c>
    </row>
    <row r="14" spans="1:8" x14ac:dyDescent="0.3">
      <c r="C14">
        <v>1000</v>
      </c>
      <c r="D14" t="s">
        <v>917</v>
      </c>
    </row>
    <row r="15" spans="1:8" x14ac:dyDescent="0.3">
      <c r="C15">
        <v>0.04</v>
      </c>
      <c r="D15" t="s">
        <v>916</v>
      </c>
    </row>
    <row r="16" spans="1:8" x14ac:dyDescent="0.3">
      <c r="C16">
        <v>0.6</v>
      </c>
      <c r="D16" t="s">
        <v>915</v>
      </c>
    </row>
    <row r="17" spans="1:13" x14ac:dyDescent="0.3">
      <c r="C17">
        <v>2747.27</v>
      </c>
      <c r="D17" t="s">
        <v>914</v>
      </c>
    </row>
    <row r="18" spans="1:13" ht="15" thickBot="1" x14ac:dyDescent="0.35"/>
    <row r="19" spans="1:13" ht="15" thickBot="1" x14ac:dyDescent="0.35">
      <c r="C19" s="399" t="s">
        <v>10</v>
      </c>
      <c r="D19" s="400"/>
      <c r="E19" s="400"/>
      <c r="F19" s="400"/>
      <c r="G19" s="401"/>
      <c r="I19" s="399" t="s">
        <v>0</v>
      </c>
      <c r="J19" s="400"/>
      <c r="K19" s="400"/>
      <c r="L19" s="400"/>
      <c r="M19" s="401"/>
    </row>
    <row r="20" spans="1:13" s="2" customFormat="1" x14ac:dyDescent="0.3">
      <c r="A20" s="2" t="s">
        <v>913</v>
      </c>
    </row>
    <row r="21" spans="1:13" x14ac:dyDescent="0.3">
      <c r="C21" t="s">
        <v>912</v>
      </c>
      <c r="D21" t="s">
        <v>911</v>
      </c>
    </row>
    <row r="22" spans="1:13" x14ac:dyDescent="0.3">
      <c r="C22">
        <v>0</v>
      </c>
      <c r="D22">
        <v>1000</v>
      </c>
    </row>
    <row r="23" spans="1:13" x14ac:dyDescent="0.3">
      <c r="C23">
        <v>1</v>
      </c>
      <c r="D23">
        <v>960</v>
      </c>
    </row>
    <row r="24" spans="1:13" x14ac:dyDescent="0.3">
      <c r="C24">
        <v>2</v>
      </c>
      <c r="D24">
        <v>920</v>
      </c>
    </row>
    <row r="25" spans="1:13" x14ac:dyDescent="0.3">
      <c r="C25">
        <v>3</v>
      </c>
      <c r="D25">
        <v>880</v>
      </c>
      <c r="L25" s="41"/>
      <c r="M25" s="36"/>
    </row>
    <row r="26" spans="1:13" x14ac:dyDescent="0.3">
      <c r="C26">
        <v>4</v>
      </c>
      <c r="D26">
        <v>845</v>
      </c>
      <c r="L26" s="41"/>
      <c r="M26" s="36"/>
    </row>
    <row r="27" spans="1:13" x14ac:dyDescent="0.3">
      <c r="C27">
        <v>5</v>
      </c>
      <c r="D27">
        <v>815</v>
      </c>
      <c r="L27" s="41"/>
      <c r="M27" s="36"/>
    </row>
    <row r="28" spans="1:13" x14ac:dyDescent="0.3">
      <c r="C28">
        <v>6</v>
      </c>
      <c r="D28">
        <v>790</v>
      </c>
      <c r="L28" s="41"/>
      <c r="M28" s="36"/>
    </row>
    <row r="29" spans="1:13" x14ac:dyDescent="0.3">
      <c r="C29">
        <v>7</v>
      </c>
      <c r="D29">
        <v>765</v>
      </c>
      <c r="L29" s="41"/>
      <c r="M29" s="36"/>
    </row>
    <row r="30" spans="1:13" x14ac:dyDescent="0.3">
      <c r="C30">
        <v>8</v>
      </c>
      <c r="D30">
        <v>745</v>
      </c>
      <c r="L30" s="41"/>
    </row>
    <row r="31" spans="1:13" x14ac:dyDescent="0.3">
      <c r="C31">
        <v>9</v>
      </c>
      <c r="D31">
        <v>725</v>
      </c>
      <c r="L31" s="41"/>
    </row>
    <row r="32" spans="1:13" x14ac:dyDescent="0.3">
      <c r="C32">
        <v>10</v>
      </c>
      <c r="D32">
        <v>0</v>
      </c>
      <c r="L32" s="41"/>
    </row>
    <row r="44" spans="1:1" s="2" customFormat="1" x14ac:dyDescent="0.3">
      <c r="A44" s="2" t="s">
        <v>910</v>
      </c>
    </row>
  </sheetData>
  <mergeCells count="3">
    <mergeCell ref="C10:F10"/>
    <mergeCell ref="C19:G19"/>
    <mergeCell ref="I19:M19"/>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C323-BFA6-49FC-85F0-8D8D0397C320}">
  <sheetPr>
    <tabColor theme="9" tint="0.59999389629810485"/>
  </sheetPr>
  <dimension ref="A1:AF60"/>
  <sheetViews>
    <sheetView workbookViewId="0">
      <selection activeCell="N47" sqref="N47"/>
    </sheetView>
  </sheetViews>
  <sheetFormatPr defaultRowHeight="14.4" x14ac:dyDescent="0.3"/>
  <cols>
    <col min="18" max="18" width="11.5546875" customWidth="1"/>
    <col min="27" max="27" width="12.6640625" customWidth="1"/>
  </cols>
  <sheetData>
    <row r="1" spans="1:8" ht="15" thickBot="1" x14ac:dyDescent="0.35">
      <c r="A1" t="s">
        <v>920</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v>1</v>
      </c>
      <c r="D12" t="s">
        <v>919</v>
      </c>
    </row>
    <row r="13" spans="1:8" x14ac:dyDescent="0.3">
      <c r="C13">
        <v>6</v>
      </c>
      <c r="D13" t="s">
        <v>918</v>
      </c>
    </row>
    <row r="14" spans="1:8" x14ac:dyDescent="0.3">
      <c r="C14">
        <v>1000</v>
      </c>
      <c r="D14" t="s">
        <v>917</v>
      </c>
    </row>
    <row r="15" spans="1:8" x14ac:dyDescent="0.3">
      <c r="C15">
        <v>0.04</v>
      </c>
      <c r="D15" t="s">
        <v>916</v>
      </c>
    </row>
    <row r="16" spans="1:8" x14ac:dyDescent="0.3">
      <c r="C16">
        <v>0.6</v>
      </c>
      <c r="D16" t="s">
        <v>915</v>
      </c>
    </row>
    <row r="17" spans="1:32" x14ac:dyDescent="0.3">
      <c r="C17">
        <v>2747.27</v>
      </c>
      <c r="D17" t="s">
        <v>914</v>
      </c>
    </row>
    <row r="18" spans="1:32" ht="15" thickBot="1" x14ac:dyDescent="0.35"/>
    <row r="19" spans="1:32" ht="15" thickBot="1" x14ac:dyDescent="0.35">
      <c r="C19" s="399" t="s">
        <v>10</v>
      </c>
      <c r="D19" s="400"/>
      <c r="E19" s="400"/>
      <c r="F19" s="400"/>
      <c r="G19" s="401"/>
      <c r="I19" s="399" t="s">
        <v>0</v>
      </c>
      <c r="J19" s="400"/>
      <c r="K19" s="400"/>
      <c r="L19" s="400"/>
      <c r="M19" s="401"/>
    </row>
    <row r="20" spans="1:32" s="2" customFormat="1" x14ac:dyDescent="0.3">
      <c r="A20" s="2" t="s">
        <v>913</v>
      </c>
    </row>
    <row r="21" spans="1:32" x14ac:dyDescent="0.3">
      <c r="C21" t="s">
        <v>912</v>
      </c>
      <c r="D21" t="s">
        <v>911</v>
      </c>
      <c r="I21" t="s">
        <v>1062</v>
      </c>
      <c r="J21" t="s">
        <v>1061</v>
      </c>
      <c r="K21" t="s">
        <v>994</v>
      </c>
      <c r="L21" t="s">
        <v>25</v>
      </c>
      <c r="M21" t="s">
        <v>444</v>
      </c>
    </row>
    <row r="22" spans="1:32" x14ac:dyDescent="0.3">
      <c r="C22">
        <v>0</v>
      </c>
      <c r="D22">
        <v>1000</v>
      </c>
      <c r="I22">
        <f t="shared" ref="I22:I32" si="0">C22+0.5</f>
        <v>0.5</v>
      </c>
      <c r="J22">
        <f t="shared" ref="J22:J31" si="1">(D22+D23)/2</f>
        <v>980</v>
      </c>
      <c r="X22" s="122"/>
      <c r="Y22" s="122"/>
      <c r="Z22" s="41"/>
      <c r="AA22" s="36"/>
    </row>
    <row r="23" spans="1:32" x14ac:dyDescent="0.3">
      <c r="C23">
        <v>1</v>
      </c>
      <c r="D23">
        <v>960</v>
      </c>
      <c r="I23">
        <f t="shared" si="0"/>
        <v>1.5</v>
      </c>
      <c r="J23">
        <f t="shared" si="1"/>
        <v>940</v>
      </c>
      <c r="X23" s="122"/>
      <c r="Y23" s="122"/>
      <c r="Z23" s="41"/>
      <c r="AA23" s="36"/>
    </row>
    <row r="24" spans="1:32" x14ac:dyDescent="0.3">
      <c r="C24">
        <v>2</v>
      </c>
      <c r="D24">
        <v>920</v>
      </c>
      <c r="I24">
        <f t="shared" si="0"/>
        <v>2.5</v>
      </c>
      <c r="J24">
        <f t="shared" si="1"/>
        <v>900</v>
      </c>
      <c r="X24" s="122"/>
      <c r="Y24" s="122"/>
      <c r="Z24" s="41"/>
      <c r="AA24" s="36"/>
    </row>
    <row r="25" spans="1:32" x14ac:dyDescent="0.3">
      <c r="C25">
        <v>3</v>
      </c>
      <c r="D25">
        <v>880</v>
      </c>
      <c r="I25">
        <f t="shared" si="0"/>
        <v>3.5</v>
      </c>
      <c r="J25">
        <f t="shared" si="1"/>
        <v>862.5</v>
      </c>
      <c r="K25" s="122"/>
      <c r="L25" s="122"/>
      <c r="X25" s="122"/>
      <c r="Y25" s="122"/>
      <c r="Z25" s="41"/>
      <c r="AA25" s="36"/>
      <c r="AE25" s="41"/>
      <c r="AF25" s="36"/>
    </row>
    <row r="26" spans="1:32" x14ac:dyDescent="0.3">
      <c r="C26">
        <v>4</v>
      </c>
      <c r="D26">
        <v>845</v>
      </c>
      <c r="I26">
        <f t="shared" si="0"/>
        <v>4.5</v>
      </c>
      <c r="J26">
        <f t="shared" si="1"/>
        <v>830</v>
      </c>
      <c r="K26" s="122">
        <f t="shared" ref="K26:K32" si="2">J26/$D$26</f>
        <v>0.98224852071005919</v>
      </c>
      <c r="L26" s="122">
        <f t="shared" ref="L26:L32" si="3">1/(1+$C$15)^((I26-$C$26)/12)</f>
        <v>0.99836713819043665</v>
      </c>
      <c r="M26" s="41">
        <v>1000</v>
      </c>
      <c r="N26" s="8" t="s">
        <v>1067</v>
      </c>
      <c r="O26" s="8"/>
      <c r="P26" s="8"/>
      <c r="Q26" s="8"/>
      <c r="R26" s="8"/>
      <c r="X26" s="122"/>
      <c r="Y26" s="122"/>
      <c r="Z26" s="41"/>
      <c r="AA26" s="36"/>
      <c r="AE26" s="41"/>
      <c r="AF26" s="36"/>
    </row>
    <row r="27" spans="1:32" x14ac:dyDescent="0.3">
      <c r="C27">
        <v>5</v>
      </c>
      <c r="D27">
        <v>815</v>
      </c>
      <c r="I27">
        <f t="shared" si="0"/>
        <v>5.5</v>
      </c>
      <c r="J27">
        <f t="shared" si="1"/>
        <v>802.5</v>
      </c>
      <c r="K27" s="122">
        <f t="shared" si="2"/>
        <v>0.94970414201183428</v>
      </c>
      <c r="L27" s="122">
        <f t="shared" si="3"/>
        <v>0.99510940893077959</v>
      </c>
      <c r="M27" s="41">
        <v>1000</v>
      </c>
      <c r="X27" s="122"/>
      <c r="Y27" s="122"/>
      <c r="Z27" s="41"/>
      <c r="AA27" s="36"/>
      <c r="AE27" s="41"/>
      <c r="AF27" s="36"/>
    </row>
    <row r="28" spans="1:32" x14ac:dyDescent="0.3">
      <c r="C28">
        <v>6</v>
      </c>
      <c r="D28">
        <v>790</v>
      </c>
      <c r="I28">
        <f t="shared" si="0"/>
        <v>6.5</v>
      </c>
      <c r="J28">
        <f t="shared" si="1"/>
        <v>777.5</v>
      </c>
      <c r="K28" s="122">
        <f t="shared" si="2"/>
        <v>0.92011834319526631</v>
      </c>
      <c r="L28" s="122">
        <f t="shared" si="3"/>
        <v>0.99186230982862988</v>
      </c>
      <c r="M28" s="41">
        <v>1000</v>
      </c>
      <c r="X28" s="122"/>
      <c r="Y28" s="122"/>
      <c r="Z28" s="41"/>
      <c r="AA28" s="36"/>
      <c r="AE28" s="41"/>
      <c r="AF28" s="36"/>
    </row>
    <row r="29" spans="1:32" x14ac:dyDescent="0.3">
      <c r="C29">
        <v>7</v>
      </c>
      <c r="D29">
        <v>765</v>
      </c>
      <c r="I29">
        <f t="shared" si="0"/>
        <v>7.5</v>
      </c>
      <c r="J29">
        <f t="shared" si="1"/>
        <v>755</v>
      </c>
      <c r="K29" s="122">
        <f t="shared" si="2"/>
        <v>0.89349112426035504</v>
      </c>
      <c r="L29" s="122">
        <f t="shared" si="3"/>
        <v>0.98862580619717366</v>
      </c>
      <c r="M29" s="41">
        <v>1000</v>
      </c>
      <c r="X29" s="122"/>
      <c r="Y29" s="122"/>
      <c r="Z29" s="41"/>
      <c r="AA29" s="36"/>
      <c r="AE29" s="41"/>
      <c r="AF29" s="36"/>
    </row>
    <row r="30" spans="1:32" x14ac:dyDescent="0.3">
      <c r="C30">
        <v>8</v>
      </c>
      <c r="D30">
        <v>745</v>
      </c>
      <c r="I30">
        <f t="shared" si="0"/>
        <v>8.5</v>
      </c>
      <c r="J30">
        <f t="shared" si="1"/>
        <v>735</v>
      </c>
      <c r="K30" s="122">
        <f t="shared" si="2"/>
        <v>0.86982248520710059</v>
      </c>
      <c r="L30" s="122">
        <f t="shared" si="3"/>
        <v>0.9853998634627823</v>
      </c>
      <c r="M30" s="41">
        <v>1000</v>
      </c>
      <c r="X30" s="122"/>
      <c r="Y30" s="122"/>
      <c r="Z30" s="41"/>
      <c r="AA30" s="36"/>
      <c r="AE30" s="41"/>
    </row>
    <row r="31" spans="1:32" x14ac:dyDescent="0.3">
      <c r="C31">
        <v>9</v>
      </c>
      <c r="D31">
        <v>725</v>
      </c>
      <c r="I31">
        <f t="shared" si="0"/>
        <v>9.5</v>
      </c>
      <c r="J31">
        <f t="shared" si="1"/>
        <v>362.5</v>
      </c>
      <c r="K31" s="122">
        <f t="shared" si="2"/>
        <v>0.42899408284023671</v>
      </c>
      <c r="L31" s="122">
        <f t="shared" si="3"/>
        <v>0.98218444716464237</v>
      </c>
      <c r="M31" s="41">
        <v>0</v>
      </c>
      <c r="X31" s="122"/>
      <c r="Y31" s="122"/>
      <c r="Z31" s="41"/>
      <c r="AA31" s="36"/>
      <c r="AE31" s="41"/>
    </row>
    <row r="32" spans="1:32" x14ac:dyDescent="0.3">
      <c r="C32">
        <v>10</v>
      </c>
      <c r="D32">
        <v>0</v>
      </c>
      <c r="I32">
        <f t="shared" si="0"/>
        <v>10.5</v>
      </c>
      <c r="J32">
        <v>0</v>
      </c>
      <c r="K32" s="122">
        <f t="shared" si="2"/>
        <v>0</v>
      </c>
      <c r="L32" s="122">
        <f t="shared" si="3"/>
        <v>0.9789795229543885</v>
      </c>
      <c r="M32" s="41">
        <v>0</v>
      </c>
      <c r="X32" s="122"/>
      <c r="Y32" s="122"/>
      <c r="Z32" s="41"/>
      <c r="AA32" s="36"/>
      <c r="AE32" s="41"/>
    </row>
    <row r="34" spans="1:27" x14ac:dyDescent="0.3">
      <c r="AA34" s="36"/>
    </row>
    <row r="36" spans="1:27" x14ac:dyDescent="0.3">
      <c r="M36" s="36">
        <f>SUMPRODUCT(M25:M32,L25:L32,K25:K32)</f>
        <v>4578.7862184387977</v>
      </c>
      <c r="N36" s="8" t="s">
        <v>1066</v>
      </c>
      <c r="O36" s="8"/>
      <c r="P36" s="8"/>
      <c r="Q36" s="8"/>
    </row>
    <row r="37" spans="1:27" x14ac:dyDescent="0.3">
      <c r="M37" s="36">
        <f>C14*(1+C15)^(0.5/12)</f>
        <v>1001.6355324079707</v>
      </c>
      <c r="N37" s="8" t="s">
        <v>1065</v>
      </c>
      <c r="O37" s="8"/>
      <c r="P37" s="8"/>
      <c r="Q37" s="8"/>
      <c r="R37" s="8"/>
      <c r="S37" s="8"/>
    </row>
    <row r="38" spans="1:27" x14ac:dyDescent="0.3">
      <c r="M38" s="36">
        <f>SUM(M36:M37)</f>
        <v>5580.4217508467682</v>
      </c>
      <c r="N38" s="8" t="s">
        <v>1064</v>
      </c>
      <c r="O38" s="8"/>
      <c r="P38" s="8"/>
      <c r="Q38" s="8"/>
      <c r="R38" s="8"/>
      <c r="S38" s="8"/>
    </row>
    <row r="40" spans="1:27" x14ac:dyDescent="0.3">
      <c r="M40">
        <f>C16</f>
        <v>0.6</v>
      </c>
      <c r="N40" s="8" t="s">
        <v>1060</v>
      </c>
      <c r="O40" s="8"/>
    </row>
    <row r="41" spans="1:27" x14ac:dyDescent="0.3">
      <c r="M41" s="4">
        <f>M40*M38</f>
        <v>3348.2530505080608</v>
      </c>
      <c r="N41" s="8" t="s">
        <v>1063</v>
      </c>
      <c r="O41" s="8"/>
      <c r="P41" s="8"/>
      <c r="Q41" s="8"/>
      <c r="R41" s="8"/>
      <c r="S41" s="8"/>
      <c r="T41" s="8"/>
      <c r="U41" s="8"/>
      <c r="V41" s="8"/>
      <c r="W41" s="8"/>
      <c r="X41" s="8"/>
      <c r="Y41" s="8"/>
      <c r="Z41" s="8"/>
    </row>
    <row r="44" spans="1:27" s="2" customFormat="1" x14ac:dyDescent="0.3">
      <c r="A44" s="2" t="s">
        <v>910</v>
      </c>
    </row>
    <row r="46" spans="1:27" x14ac:dyDescent="0.3">
      <c r="I46" t="s">
        <v>1062</v>
      </c>
      <c r="J46" t="s">
        <v>1061</v>
      </c>
      <c r="K46" t="s">
        <v>994</v>
      </c>
      <c r="L46" t="s">
        <v>25</v>
      </c>
      <c r="M46" t="s">
        <v>444</v>
      </c>
      <c r="N46" t="s">
        <v>1022</v>
      </c>
    </row>
    <row r="47" spans="1:27" x14ac:dyDescent="0.3">
      <c r="I47">
        <f t="shared" ref="I47:J57" si="4">I22</f>
        <v>0.5</v>
      </c>
      <c r="J47">
        <f t="shared" si="4"/>
        <v>980</v>
      </c>
    </row>
    <row r="48" spans="1:27" x14ac:dyDescent="0.3">
      <c r="I48">
        <f t="shared" si="4"/>
        <v>1.5</v>
      </c>
      <c r="J48">
        <f t="shared" si="4"/>
        <v>940</v>
      </c>
    </row>
    <row r="49" spans="9:25" x14ac:dyDescent="0.3">
      <c r="I49">
        <f t="shared" si="4"/>
        <v>2.5</v>
      </c>
      <c r="J49">
        <f t="shared" si="4"/>
        <v>900</v>
      </c>
    </row>
    <row r="50" spans="9:25" x14ac:dyDescent="0.3">
      <c r="I50">
        <f t="shared" si="4"/>
        <v>3.5</v>
      </c>
      <c r="J50">
        <f t="shared" si="4"/>
        <v>862.5</v>
      </c>
      <c r="K50">
        <f t="shared" ref="K50:K55" si="5">J50/$D$25</f>
        <v>0.98011363636363635</v>
      </c>
      <c r="L50">
        <f t="shared" ref="L50:L55" si="6">1/(1+$C$15)^((I50-$C$25)/12)</f>
        <v>0.99836713819043665</v>
      </c>
      <c r="M50" s="41">
        <v>1000</v>
      </c>
      <c r="N50" s="36">
        <f t="shared" ref="N50:N55" si="7">PRODUCT(K50:M50)</f>
        <v>978.51324623778589</v>
      </c>
    </row>
    <row r="51" spans="9:25" x14ac:dyDescent="0.3">
      <c r="I51">
        <f t="shared" si="4"/>
        <v>4.5</v>
      </c>
      <c r="J51">
        <f t="shared" si="4"/>
        <v>830</v>
      </c>
      <c r="K51">
        <f t="shared" si="5"/>
        <v>0.94318181818181823</v>
      </c>
      <c r="L51">
        <f t="shared" si="6"/>
        <v>0.99510940893077959</v>
      </c>
      <c r="M51" s="41">
        <v>1000</v>
      </c>
      <c r="N51" s="36">
        <f t="shared" si="7"/>
        <v>938.56910160516713</v>
      </c>
    </row>
    <row r="52" spans="9:25" x14ac:dyDescent="0.3">
      <c r="I52">
        <f t="shared" si="4"/>
        <v>5.5</v>
      </c>
      <c r="J52">
        <f t="shared" si="4"/>
        <v>802.5</v>
      </c>
      <c r="K52">
        <f t="shared" si="5"/>
        <v>0.91193181818181823</v>
      </c>
      <c r="L52">
        <f t="shared" si="6"/>
        <v>0.99186230982862988</v>
      </c>
      <c r="M52" s="41">
        <v>1000</v>
      </c>
      <c r="N52" s="36">
        <f t="shared" si="7"/>
        <v>904.51079958804041</v>
      </c>
    </row>
    <row r="53" spans="9:25" x14ac:dyDescent="0.3">
      <c r="I53">
        <f t="shared" si="4"/>
        <v>6.5</v>
      </c>
      <c r="J53">
        <f t="shared" si="4"/>
        <v>777.5</v>
      </c>
      <c r="K53">
        <f t="shared" si="5"/>
        <v>0.88352272727272729</v>
      </c>
      <c r="L53">
        <f t="shared" si="6"/>
        <v>0.98862580619717366</v>
      </c>
      <c r="M53" s="41">
        <v>1000</v>
      </c>
      <c r="N53" s="36">
        <f t="shared" si="7"/>
        <v>873.47336854352568</v>
      </c>
    </row>
    <row r="54" spans="9:25" x14ac:dyDescent="0.3">
      <c r="I54">
        <f t="shared" si="4"/>
        <v>7.5</v>
      </c>
      <c r="J54">
        <f t="shared" si="4"/>
        <v>755</v>
      </c>
      <c r="K54">
        <f t="shared" si="5"/>
        <v>0.85795454545454541</v>
      </c>
      <c r="L54">
        <f t="shared" si="6"/>
        <v>0.9853998634627823</v>
      </c>
      <c r="M54" s="41">
        <v>1000</v>
      </c>
      <c r="N54" s="36">
        <f t="shared" si="7"/>
        <v>845.4282919481825</v>
      </c>
    </row>
    <row r="55" spans="9:25" x14ac:dyDescent="0.3">
      <c r="I55">
        <f t="shared" si="4"/>
        <v>8.5</v>
      </c>
      <c r="J55">
        <f t="shared" si="4"/>
        <v>735</v>
      </c>
      <c r="K55">
        <f t="shared" si="5"/>
        <v>0.83522727272727271</v>
      </c>
      <c r="L55">
        <f t="shared" si="6"/>
        <v>0.98218444716464237</v>
      </c>
      <c r="M55" s="41">
        <v>1000</v>
      </c>
      <c r="N55" s="36">
        <f t="shared" si="7"/>
        <v>820.34723712046832</v>
      </c>
    </row>
    <row r="56" spans="9:25" x14ac:dyDescent="0.3">
      <c r="I56">
        <f t="shared" si="4"/>
        <v>9.5</v>
      </c>
      <c r="J56">
        <f t="shared" si="4"/>
        <v>362.5</v>
      </c>
    </row>
    <row r="57" spans="9:25" x14ac:dyDescent="0.3">
      <c r="I57">
        <f t="shared" si="4"/>
        <v>10.5</v>
      </c>
      <c r="J57">
        <f t="shared" si="4"/>
        <v>0</v>
      </c>
    </row>
    <row r="58" spans="9:25" x14ac:dyDescent="0.3">
      <c r="N58" s="36">
        <f>SUM(N50:N55)</f>
        <v>5360.8420450431695</v>
      </c>
    </row>
    <row r="59" spans="9:25" x14ac:dyDescent="0.3">
      <c r="N59">
        <f>C16</f>
        <v>0.6</v>
      </c>
      <c r="O59" s="8" t="s">
        <v>1060</v>
      </c>
      <c r="P59" s="8"/>
    </row>
    <row r="60" spans="9:25" x14ac:dyDescent="0.3">
      <c r="N60" s="4">
        <f>N58*N59</f>
        <v>3216.5052270259016</v>
      </c>
      <c r="O60" s="8" t="s">
        <v>1059</v>
      </c>
      <c r="P60" s="8"/>
      <c r="Q60" s="8"/>
      <c r="R60" s="8"/>
      <c r="S60" s="8"/>
      <c r="T60" s="8"/>
      <c r="U60" s="8"/>
      <c r="V60" s="8"/>
      <c r="W60" s="8"/>
      <c r="X60" s="8"/>
      <c r="Y60" s="8"/>
    </row>
  </sheetData>
  <mergeCells count="3">
    <mergeCell ref="C10:F10"/>
    <mergeCell ref="C19:G19"/>
    <mergeCell ref="I19:M19"/>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38B1-529F-4B85-A1A4-2AB2CB81E691}">
  <sheetPr>
    <tabColor theme="5" tint="0.59999389629810485"/>
  </sheetPr>
  <dimension ref="A1:M37"/>
  <sheetViews>
    <sheetView workbookViewId="0">
      <selection activeCell="G54" sqref="G54"/>
    </sheetView>
  </sheetViews>
  <sheetFormatPr defaultRowHeight="14.4" x14ac:dyDescent="0.3"/>
  <cols>
    <col min="4" max="6" width="18.6640625" customWidth="1"/>
    <col min="10" max="12" width="21.109375" customWidth="1"/>
    <col min="13" max="13" width="20.109375" bestFit="1" customWidth="1"/>
  </cols>
  <sheetData>
    <row r="1" spans="1:8" ht="15" thickBot="1" x14ac:dyDescent="0.35">
      <c r="A1" t="s">
        <v>928</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0.02</v>
      </c>
      <c r="D12" t="s">
        <v>927</v>
      </c>
    </row>
    <row r="13" spans="1:8" x14ac:dyDescent="0.3">
      <c r="D13" t="s">
        <v>926</v>
      </c>
    </row>
    <row r="21" spans="3:13" ht="15" thickBot="1" x14ac:dyDescent="0.35"/>
    <row r="22" spans="3:13" ht="15" thickBot="1" x14ac:dyDescent="0.35">
      <c r="C22" s="399" t="s">
        <v>10</v>
      </c>
      <c r="D22" s="400"/>
      <c r="E22" s="400"/>
      <c r="F22" s="400"/>
      <c r="G22" s="401"/>
      <c r="I22" s="399" t="s">
        <v>0</v>
      </c>
      <c r="J22" s="400"/>
      <c r="K22" s="400"/>
      <c r="L22" s="400"/>
      <c r="M22" s="401"/>
    </row>
    <row r="25" spans="3:13" x14ac:dyDescent="0.3">
      <c r="C25" t="s">
        <v>925</v>
      </c>
      <c r="D25" t="s">
        <v>924</v>
      </c>
      <c r="E25" t="s">
        <v>923</v>
      </c>
      <c r="F25" t="s">
        <v>922</v>
      </c>
    </row>
    <row r="26" spans="3:13" x14ac:dyDescent="0.3">
      <c r="C26">
        <v>11</v>
      </c>
      <c r="D26" s="41">
        <v>281000</v>
      </c>
      <c r="E26" s="41">
        <v>48000</v>
      </c>
      <c r="F26" s="41">
        <v>241000</v>
      </c>
    </row>
    <row r="27" spans="3:13" x14ac:dyDescent="0.3">
      <c r="C27">
        <v>10</v>
      </c>
      <c r="D27" s="41">
        <v>71000</v>
      </c>
      <c r="E27" s="41">
        <v>13000</v>
      </c>
      <c r="F27" s="41">
        <v>62000</v>
      </c>
    </row>
    <row r="28" spans="3:13" x14ac:dyDescent="0.3">
      <c r="C28">
        <v>9</v>
      </c>
      <c r="D28" s="41">
        <v>79000</v>
      </c>
      <c r="E28" s="41">
        <v>15000</v>
      </c>
      <c r="F28" s="41">
        <v>67000</v>
      </c>
    </row>
    <row r="29" spans="3:13" x14ac:dyDescent="0.3">
      <c r="C29">
        <v>8</v>
      </c>
      <c r="D29" s="41">
        <v>83000</v>
      </c>
      <c r="E29" s="41">
        <v>16000</v>
      </c>
      <c r="F29" s="41">
        <v>73000</v>
      </c>
    </row>
    <row r="30" spans="3:13" x14ac:dyDescent="0.3">
      <c r="C30">
        <v>7</v>
      </c>
      <c r="D30" s="41">
        <v>94000</v>
      </c>
      <c r="E30" s="41">
        <v>19000</v>
      </c>
      <c r="F30" s="41">
        <v>80000</v>
      </c>
    </row>
    <row r="31" spans="3:13" x14ac:dyDescent="0.3">
      <c r="C31">
        <v>6</v>
      </c>
      <c r="D31" s="41">
        <v>113000</v>
      </c>
      <c r="E31" s="41">
        <v>18000</v>
      </c>
      <c r="F31" s="41">
        <v>99000</v>
      </c>
    </row>
    <row r="32" spans="3:13" x14ac:dyDescent="0.3">
      <c r="C32">
        <v>5</v>
      </c>
      <c r="D32" s="41">
        <v>120000</v>
      </c>
      <c r="E32" s="41">
        <v>16000</v>
      </c>
      <c r="F32" s="41">
        <v>102000</v>
      </c>
    </row>
    <row r="33" spans="3:6" x14ac:dyDescent="0.3">
      <c r="C33">
        <v>4</v>
      </c>
      <c r="D33" s="41">
        <v>135000</v>
      </c>
      <c r="E33" s="41">
        <v>18000</v>
      </c>
      <c r="F33" s="41">
        <v>117000</v>
      </c>
    </row>
    <row r="34" spans="3:6" x14ac:dyDescent="0.3">
      <c r="C34">
        <v>3</v>
      </c>
      <c r="D34" s="41">
        <v>169000</v>
      </c>
      <c r="E34" s="41">
        <v>23000</v>
      </c>
      <c r="F34" s="41">
        <v>146000</v>
      </c>
    </row>
    <row r="35" spans="3:6" x14ac:dyDescent="0.3">
      <c r="C35">
        <v>2</v>
      </c>
      <c r="D35" s="41">
        <v>218000</v>
      </c>
      <c r="E35" s="41">
        <v>38000</v>
      </c>
      <c r="F35" s="41">
        <v>172000</v>
      </c>
    </row>
    <row r="36" spans="3:6" x14ac:dyDescent="0.3">
      <c r="C36">
        <v>1</v>
      </c>
      <c r="D36" s="41">
        <v>285000</v>
      </c>
      <c r="E36" s="41">
        <v>60000</v>
      </c>
      <c r="F36" s="41">
        <v>219000</v>
      </c>
    </row>
    <row r="37" spans="3:6" x14ac:dyDescent="0.3">
      <c r="C37" t="s">
        <v>921</v>
      </c>
      <c r="D37" s="41" t="s">
        <v>242</v>
      </c>
      <c r="E37" s="41">
        <v>23000</v>
      </c>
      <c r="F37" s="41">
        <v>400000</v>
      </c>
    </row>
  </sheetData>
  <mergeCells count="3">
    <mergeCell ref="C10:F10"/>
    <mergeCell ref="C22:G22"/>
    <mergeCell ref="I22:M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6671E-F90F-41F4-9527-44F6AD5AA7F1}">
  <sheetPr>
    <tabColor theme="9" tint="0.59999389629810485"/>
  </sheetPr>
  <dimension ref="A1:R79"/>
  <sheetViews>
    <sheetView workbookViewId="0">
      <selection activeCell="O51" sqref="O51"/>
    </sheetView>
  </sheetViews>
  <sheetFormatPr defaultRowHeight="14.4" x14ac:dyDescent="0.3"/>
  <cols>
    <col min="3" max="3" width="20" customWidth="1"/>
    <col min="4" max="4" width="14.109375" customWidth="1"/>
    <col min="5" max="6" width="18.33203125" customWidth="1"/>
    <col min="9" max="9" width="21.6640625" customWidth="1"/>
    <col min="10" max="10" width="23.109375" customWidth="1"/>
    <col min="11" max="11" width="14" customWidth="1"/>
    <col min="12" max="12" width="18.6640625" customWidth="1"/>
    <col min="13" max="13" width="19.88671875" customWidth="1"/>
    <col min="14" max="14" width="14.88671875" customWidth="1"/>
  </cols>
  <sheetData>
    <row r="1" spans="1:13" ht="15" thickBot="1" x14ac:dyDescent="0.35">
      <c r="A1" t="s">
        <v>62</v>
      </c>
      <c r="G1" s="10" t="s">
        <v>16</v>
      </c>
      <c r="H1" s="9"/>
    </row>
    <row r="2" spans="1:13" x14ac:dyDescent="0.3">
      <c r="G2" s="8" t="s">
        <v>15</v>
      </c>
      <c r="H2" s="8"/>
    </row>
    <row r="3" spans="1:13" ht="15" thickBot="1" x14ac:dyDescent="0.35">
      <c r="G3" s="7" t="s">
        <v>14</v>
      </c>
      <c r="H3" s="7"/>
    </row>
    <row r="4" spans="1:13" ht="15.6" thickTop="1" thickBot="1" x14ac:dyDescent="0.35">
      <c r="G4" s="6" t="s">
        <v>13</v>
      </c>
      <c r="H4" s="6"/>
    </row>
    <row r="5" spans="1:13" ht="15" thickTop="1" x14ac:dyDescent="0.3">
      <c r="G5" s="5" t="s">
        <v>12</v>
      </c>
      <c r="H5" s="4"/>
    </row>
    <row r="9" spans="1:13" ht="15" thickBot="1" x14ac:dyDescent="0.35"/>
    <row r="10" spans="1:13" ht="15" thickBot="1" x14ac:dyDescent="0.35">
      <c r="C10" s="399" t="s">
        <v>3</v>
      </c>
      <c r="D10" s="400"/>
      <c r="E10" s="400"/>
      <c r="F10" s="401"/>
    </row>
    <row r="12" spans="1:13" x14ac:dyDescent="0.3">
      <c r="C12" t="s">
        <v>61</v>
      </c>
    </row>
    <row r="13" spans="1:13" x14ac:dyDescent="0.3">
      <c r="C13">
        <v>0.5</v>
      </c>
      <c r="D13" t="s">
        <v>60</v>
      </c>
    </row>
    <row r="14" spans="1:13" x14ac:dyDescent="0.3">
      <c r="C14">
        <v>0.5</v>
      </c>
      <c r="D14" t="s">
        <v>59</v>
      </c>
    </row>
    <row r="15" spans="1:13" ht="15" thickBot="1" x14ac:dyDescent="0.35"/>
    <row r="16" spans="1:13" ht="15" thickBot="1" x14ac:dyDescent="0.35">
      <c r="C16" s="399" t="s">
        <v>10</v>
      </c>
      <c r="D16" s="400"/>
      <c r="E16" s="400"/>
      <c r="F16" s="400"/>
      <c r="G16" s="401"/>
      <c r="I16" s="399" t="s">
        <v>0</v>
      </c>
      <c r="J16" s="400"/>
      <c r="K16" s="400"/>
      <c r="L16" s="400"/>
      <c r="M16" s="401"/>
    </row>
    <row r="17" spans="2:16" s="2" customFormat="1" x14ac:dyDescent="0.3">
      <c r="B17" s="2" t="s">
        <v>58</v>
      </c>
    </row>
    <row r="18" spans="2:16" x14ac:dyDescent="0.3">
      <c r="J18" t="str">
        <f>C25</f>
        <v>2019 Experience (‘000s)</v>
      </c>
      <c r="K18" t="s">
        <v>501</v>
      </c>
      <c r="L18" t="s">
        <v>500</v>
      </c>
    </row>
    <row r="19" spans="2:16" x14ac:dyDescent="0.3">
      <c r="C19" t="s">
        <v>57</v>
      </c>
      <c r="I19" t="str">
        <f t="shared" ref="I19:J22" si="0">C26</f>
        <v>Premiums</v>
      </c>
      <c r="J19" s="18">
        <f t="shared" si="0"/>
        <v>10000</v>
      </c>
      <c r="K19" s="18">
        <f>J19</f>
        <v>10000</v>
      </c>
      <c r="L19" s="18">
        <f>J19-K19</f>
        <v>0</v>
      </c>
    </row>
    <row r="20" spans="2:16" x14ac:dyDescent="0.3">
      <c r="C20" t="s">
        <v>54</v>
      </c>
      <c r="D20" s="3">
        <v>0.13</v>
      </c>
      <c r="I20" t="str">
        <f t="shared" si="0"/>
        <v>Claims</v>
      </c>
      <c r="J20" s="18">
        <f t="shared" si="0"/>
        <v>7500</v>
      </c>
      <c r="K20" s="18">
        <f>K19*(1-SUM(D20:D22))</f>
        <v>8000</v>
      </c>
      <c r="L20" s="18">
        <f>J20-K20</f>
        <v>-500</v>
      </c>
    </row>
    <row r="21" spans="2:16" x14ac:dyDescent="0.3">
      <c r="C21" t="s">
        <v>53</v>
      </c>
      <c r="D21" s="3">
        <v>0.02</v>
      </c>
      <c r="I21" t="str">
        <f t="shared" si="0"/>
        <v>Administration</v>
      </c>
      <c r="J21" s="18">
        <f t="shared" si="0"/>
        <v>1100</v>
      </c>
      <c r="K21" s="18">
        <f>D20*K19</f>
        <v>1300</v>
      </c>
      <c r="L21" s="18">
        <f>J21-K21</f>
        <v>-200</v>
      </c>
    </row>
    <row r="22" spans="2:16" x14ac:dyDescent="0.3">
      <c r="C22" t="s">
        <v>56</v>
      </c>
      <c r="D22" s="3">
        <v>0.05</v>
      </c>
      <c r="I22" t="str">
        <f t="shared" si="0"/>
        <v>Premium Taxes</v>
      </c>
      <c r="J22" s="18">
        <f t="shared" si="0"/>
        <v>200</v>
      </c>
      <c r="K22" s="18">
        <f>D21*K19</f>
        <v>200</v>
      </c>
      <c r="L22" s="18">
        <f>J22-K22</f>
        <v>0</v>
      </c>
    </row>
    <row r="23" spans="2:16" x14ac:dyDescent="0.3">
      <c r="I23" t="s">
        <v>499</v>
      </c>
      <c r="J23" s="18">
        <f>J19-SUM(J20:J22)</f>
        <v>1200</v>
      </c>
      <c r="K23" s="18">
        <f>D22*K19</f>
        <v>500</v>
      </c>
      <c r="L23" s="18">
        <f>J23-K23</f>
        <v>700</v>
      </c>
      <c r="M23" s="8" t="s">
        <v>498</v>
      </c>
      <c r="N23" s="8"/>
      <c r="O23" s="8"/>
      <c r="P23" s="8"/>
    </row>
    <row r="25" spans="2:16" x14ac:dyDescent="0.3">
      <c r="C25" t="s">
        <v>55</v>
      </c>
    </row>
    <row r="26" spans="2:16" x14ac:dyDescent="0.3">
      <c r="C26" t="s">
        <v>40</v>
      </c>
      <c r="D26" s="18">
        <v>10000</v>
      </c>
    </row>
    <row r="27" spans="2:16" x14ac:dyDescent="0.3">
      <c r="C27" t="s">
        <v>39</v>
      </c>
      <c r="D27" s="18">
        <v>7500</v>
      </c>
    </row>
    <row r="28" spans="2:16" x14ac:dyDescent="0.3">
      <c r="C28" t="s">
        <v>54</v>
      </c>
      <c r="D28" s="18">
        <v>1100</v>
      </c>
    </row>
    <row r="29" spans="2:16" x14ac:dyDescent="0.3">
      <c r="C29" t="s">
        <v>53</v>
      </c>
      <c r="D29" s="18">
        <v>200</v>
      </c>
    </row>
    <row r="31" spans="2:16" s="2" customFormat="1" x14ac:dyDescent="0.3">
      <c r="B31" s="2" t="s">
        <v>52</v>
      </c>
    </row>
    <row r="33" spans="3:13" x14ac:dyDescent="0.3">
      <c r="I33" s="123" t="s">
        <v>128</v>
      </c>
    </row>
    <row r="34" spans="3:13" x14ac:dyDescent="0.3">
      <c r="C34" s="30"/>
      <c r="D34" s="403" t="s">
        <v>51</v>
      </c>
      <c r="E34" s="404" t="s">
        <v>50</v>
      </c>
      <c r="F34" s="404"/>
    </row>
    <row r="35" spans="3:13" x14ac:dyDescent="0.3">
      <c r="C35" s="30" t="s">
        <v>49</v>
      </c>
      <c r="D35" s="405"/>
      <c r="E35" s="28" t="s">
        <v>40</v>
      </c>
      <c r="F35" s="28" t="s">
        <v>39</v>
      </c>
      <c r="I35" t="s">
        <v>54</v>
      </c>
      <c r="J35" s="125">
        <f>J21/$J$19</f>
        <v>0.11</v>
      </c>
      <c r="K35" s="8" t="s">
        <v>497</v>
      </c>
      <c r="L35" s="8"/>
      <c r="M35" s="8"/>
    </row>
    <row r="36" spans="3:13" x14ac:dyDescent="0.3">
      <c r="C36" s="23" t="s">
        <v>48</v>
      </c>
      <c r="D36" s="33">
        <v>1.1000000000000001</v>
      </c>
      <c r="E36" s="25">
        <v>2000</v>
      </c>
      <c r="F36" s="24">
        <v>1500</v>
      </c>
      <c r="I36" t="s">
        <v>53</v>
      </c>
      <c r="J36" s="125">
        <f>J22/$J$19</f>
        <v>0.02</v>
      </c>
    </row>
    <row r="37" spans="3:13" x14ac:dyDescent="0.3">
      <c r="C37" s="23" t="s">
        <v>47</v>
      </c>
      <c r="D37" s="32">
        <v>0.9</v>
      </c>
      <c r="E37" s="18">
        <v>2000</v>
      </c>
      <c r="F37" s="22">
        <v>1600</v>
      </c>
      <c r="I37" t="s">
        <v>56</v>
      </c>
      <c r="J37" s="125">
        <f>J38-SUM(J35:J36)</f>
        <v>7.0000000000000007E-2</v>
      </c>
      <c r="K37" s="8" t="s">
        <v>496</v>
      </c>
      <c r="L37" s="8"/>
      <c r="M37" s="8"/>
    </row>
    <row r="38" spans="3:13" x14ac:dyDescent="0.3">
      <c r="C38" s="23" t="s">
        <v>46</v>
      </c>
      <c r="D38" s="32">
        <v>0.9</v>
      </c>
      <c r="E38" s="18">
        <v>2000</v>
      </c>
      <c r="F38" s="22">
        <v>1500</v>
      </c>
      <c r="I38" t="s">
        <v>495</v>
      </c>
      <c r="J38" s="3">
        <f>SUM(D20:D22)</f>
        <v>0.2</v>
      </c>
      <c r="K38" s="8" t="s">
        <v>494</v>
      </c>
      <c r="L38" s="8"/>
      <c r="M38" s="8"/>
    </row>
    <row r="39" spans="3:13" x14ac:dyDescent="0.3">
      <c r="C39" s="23" t="s">
        <v>45</v>
      </c>
      <c r="D39" s="32">
        <v>1.1000000000000001</v>
      </c>
      <c r="E39" s="18">
        <v>2000</v>
      </c>
      <c r="F39" s="22">
        <v>1400</v>
      </c>
      <c r="I39" t="s">
        <v>435</v>
      </c>
      <c r="J39" s="3">
        <f>1-J38</f>
        <v>0.8</v>
      </c>
    </row>
    <row r="40" spans="3:13" x14ac:dyDescent="0.3">
      <c r="C40" s="21" t="s">
        <v>44</v>
      </c>
      <c r="D40" s="31">
        <v>1</v>
      </c>
      <c r="E40" s="20">
        <v>2000</v>
      </c>
      <c r="F40" s="19">
        <v>1500</v>
      </c>
    </row>
    <row r="42" spans="3:13" x14ac:dyDescent="0.3">
      <c r="C42" s="30"/>
      <c r="D42" s="403" t="s">
        <v>43</v>
      </c>
      <c r="E42" s="404" t="s">
        <v>42</v>
      </c>
      <c r="F42" s="404"/>
      <c r="I42" s="123" t="s">
        <v>493</v>
      </c>
    </row>
    <row r="43" spans="3:13" x14ac:dyDescent="0.3">
      <c r="C43" s="30" t="s">
        <v>41</v>
      </c>
      <c r="D43" s="403"/>
      <c r="E43" s="28" t="s">
        <v>40</v>
      </c>
      <c r="F43" s="28" t="s">
        <v>39</v>
      </c>
      <c r="J43" t="s">
        <v>492</v>
      </c>
    </row>
    <row r="44" spans="3:13" x14ac:dyDescent="0.3">
      <c r="C44" s="27" t="s">
        <v>38</v>
      </c>
      <c r="D44" s="26">
        <v>0.5</v>
      </c>
      <c r="E44" s="25">
        <v>1500</v>
      </c>
      <c r="F44" s="24">
        <v>1125</v>
      </c>
      <c r="I44" t="s">
        <v>324</v>
      </c>
      <c r="J44" s="18">
        <f>J20</f>
        <v>7500</v>
      </c>
    </row>
    <row r="45" spans="3:13" x14ac:dyDescent="0.3">
      <c r="C45" s="23" t="s">
        <v>37</v>
      </c>
      <c r="D45">
        <v>0.75</v>
      </c>
      <c r="E45" s="18">
        <v>1500</v>
      </c>
      <c r="F45" s="22">
        <v>1125</v>
      </c>
      <c r="I45" t="s">
        <v>491</v>
      </c>
      <c r="J45" s="3">
        <f>J39</f>
        <v>0.8</v>
      </c>
    </row>
    <row r="46" spans="3:13" x14ac:dyDescent="0.3">
      <c r="C46" s="23" t="s">
        <v>36</v>
      </c>
      <c r="D46">
        <v>1.5</v>
      </c>
      <c r="E46" s="18">
        <v>1500</v>
      </c>
      <c r="F46" s="22">
        <v>1125</v>
      </c>
      <c r="I46" t="s">
        <v>490</v>
      </c>
      <c r="J46" s="18">
        <f>J44/J45</f>
        <v>9375</v>
      </c>
    </row>
    <row r="47" spans="3:13" x14ac:dyDescent="0.3">
      <c r="C47" s="23" t="s">
        <v>35</v>
      </c>
      <c r="D47">
        <v>0.5</v>
      </c>
      <c r="E47" s="18">
        <v>2000</v>
      </c>
      <c r="F47" s="22">
        <v>1500</v>
      </c>
      <c r="I47" t="s">
        <v>489</v>
      </c>
      <c r="J47" s="18">
        <f>J19</f>
        <v>10000</v>
      </c>
    </row>
    <row r="48" spans="3:13" x14ac:dyDescent="0.3">
      <c r="C48" s="23" t="s">
        <v>34</v>
      </c>
      <c r="D48">
        <v>1.75</v>
      </c>
      <c r="E48" s="18">
        <v>2000</v>
      </c>
      <c r="F48" s="22">
        <v>1500</v>
      </c>
      <c r="I48" t="s">
        <v>488</v>
      </c>
      <c r="J48" s="124">
        <f>J46/J47-1</f>
        <v>-6.25E-2</v>
      </c>
      <c r="K48" s="8" t="s">
        <v>487</v>
      </c>
      <c r="L48" s="8"/>
    </row>
    <row r="49" spans="3:11" x14ac:dyDescent="0.3">
      <c r="C49" s="21" t="s">
        <v>33</v>
      </c>
      <c r="D49" s="2">
        <v>1.25</v>
      </c>
      <c r="E49" s="20">
        <v>1500</v>
      </c>
      <c r="F49" s="19">
        <v>1125</v>
      </c>
    </row>
    <row r="51" spans="3:11" x14ac:dyDescent="0.3">
      <c r="J51" t="s">
        <v>486</v>
      </c>
    </row>
    <row r="52" spans="3:11" x14ac:dyDescent="0.3">
      <c r="I52" t="s">
        <v>485</v>
      </c>
      <c r="J52" s="18">
        <f>J19*(1+J48)</f>
        <v>9375</v>
      </c>
    </row>
    <row r="53" spans="3:11" x14ac:dyDescent="0.3">
      <c r="I53" t="s">
        <v>39</v>
      </c>
      <c r="J53" s="18">
        <f>J20</f>
        <v>7500</v>
      </c>
    </row>
    <row r="54" spans="3:11" x14ac:dyDescent="0.3">
      <c r="I54" t="s">
        <v>54</v>
      </c>
      <c r="J54" s="61">
        <f>$J$52*J35</f>
        <v>1031.25</v>
      </c>
    </row>
    <row r="55" spans="3:11" x14ac:dyDescent="0.3">
      <c r="I55" t="s">
        <v>53</v>
      </c>
      <c r="J55" s="61">
        <f>$J$52*J36</f>
        <v>187.5</v>
      </c>
    </row>
    <row r="56" spans="3:11" x14ac:dyDescent="0.3">
      <c r="I56" t="s">
        <v>56</v>
      </c>
      <c r="J56" s="61">
        <f>$J$52*J37</f>
        <v>656.25000000000011</v>
      </c>
    </row>
    <row r="57" spans="3:11" x14ac:dyDescent="0.3">
      <c r="D57" s="18"/>
      <c r="E57" s="18"/>
    </row>
    <row r="58" spans="3:11" x14ac:dyDescent="0.3">
      <c r="D58" s="18"/>
      <c r="E58" s="18"/>
    </row>
    <row r="59" spans="3:11" x14ac:dyDescent="0.3">
      <c r="D59" s="18"/>
      <c r="E59" s="18"/>
      <c r="I59" s="123" t="s">
        <v>484</v>
      </c>
    </row>
    <row r="60" spans="3:11" x14ac:dyDescent="0.3">
      <c r="D60" s="18"/>
      <c r="E60" s="18"/>
    </row>
    <row r="61" spans="3:11" x14ac:dyDescent="0.3">
      <c r="D61" s="18"/>
      <c r="E61" s="18"/>
      <c r="I61" t="s">
        <v>483</v>
      </c>
      <c r="J61" s="34">
        <f>J20/J19</f>
        <v>0.75</v>
      </c>
    </row>
    <row r="63" spans="3:11" x14ac:dyDescent="0.3">
      <c r="I63" t="s">
        <v>41</v>
      </c>
      <c r="J63" t="s">
        <v>478</v>
      </c>
      <c r="K63" t="s">
        <v>482</v>
      </c>
    </row>
    <row r="64" spans="3:11" x14ac:dyDescent="0.3">
      <c r="I64" t="s">
        <v>38</v>
      </c>
      <c r="J64">
        <f t="shared" ref="J64:J69" si="1">D44</f>
        <v>0.5</v>
      </c>
      <c r="K64">
        <f t="shared" ref="K64:K69" si="2">F44/E44</f>
        <v>0.75</v>
      </c>
    </row>
    <row r="65" spans="9:18" x14ac:dyDescent="0.3">
      <c r="I65" t="s">
        <v>37</v>
      </c>
      <c r="J65">
        <f t="shared" si="1"/>
        <v>0.75</v>
      </c>
      <c r="K65">
        <f t="shared" si="2"/>
        <v>0.75</v>
      </c>
    </row>
    <row r="66" spans="9:18" x14ac:dyDescent="0.3">
      <c r="I66" t="s">
        <v>36</v>
      </c>
      <c r="J66">
        <f t="shared" si="1"/>
        <v>1.5</v>
      </c>
      <c r="K66">
        <f t="shared" si="2"/>
        <v>0.75</v>
      </c>
    </row>
    <row r="67" spans="9:18" x14ac:dyDescent="0.3">
      <c r="I67" t="s">
        <v>35</v>
      </c>
      <c r="J67">
        <f t="shared" si="1"/>
        <v>0.5</v>
      </c>
      <c r="K67">
        <f t="shared" si="2"/>
        <v>0.75</v>
      </c>
    </row>
    <row r="68" spans="9:18" x14ac:dyDescent="0.3">
      <c r="I68" t="s">
        <v>34</v>
      </c>
      <c r="J68">
        <f t="shared" si="1"/>
        <v>1.75</v>
      </c>
      <c r="K68">
        <f t="shared" si="2"/>
        <v>0.75</v>
      </c>
    </row>
    <row r="69" spans="9:18" x14ac:dyDescent="0.3">
      <c r="I69" t="s">
        <v>33</v>
      </c>
      <c r="J69">
        <f t="shared" si="1"/>
        <v>1.25</v>
      </c>
      <c r="K69">
        <f t="shared" si="2"/>
        <v>0.75</v>
      </c>
      <c r="L69" s="8" t="s">
        <v>481</v>
      </c>
      <c r="M69" s="8"/>
      <c r="N69" s="8"/>
      <c r="O69" s="8"/>
      <c r="P69" s="8"/>
      <c r="Q69" s="8"/>
      <c r="R69" s="8"/>
    </row>
    <row r="70" spans="9:18" x14ac:dyDescent="0.3">
      <c r="K70" s="124" t="s">
        <v>480</v>
      </c>
    </row>
    <row r="72" spans="9:18" x14ac:dyDescent="0.3">
      <c r="I72" s="123" t="s">
        <v>479</v>
      </c>
    </row>
    <row r="74" spans="9:18" x14ac:dyDescent="0.3">
      <c r="I74" t="s">
        <v>49</v>
      </c>
      <c r="J74" t="s">
        <v>478</v>
      </c>
      <c r="K74" t="s">
        <v>477</v>
      </c>
      <c r="L74" t="s">
        <v>476</v>
      </c>
      <c r="M74" t="s">
        <v>475</v>
      </c>
      <c r="N74" t="s">
        <v>474</v>
      </c>
    </row>
    <row r="75" spans="9:18" x14ac:dyDescent="0.3">
      <c r="I75" t="s">
        <v>48</v>
      </c>
      <c r="J75">
        <f>D36</f>
        <v>1.1000000000000001</v>
      </c>
      <c r="K75">
        <f>F36/E36</f>
        <v>0.75</v>
      </c>
      <c r="L75" s="1">
        <f>$J$61</f>
        <v>0.75</v>
      </c>
      <c r="M75" s="122">
        <f>J75*(K75/L75)</f>
        <v>1.1000000000000001</v>
      </c>
      <c r="N75" s="121">
        <f>M75*$C$13+J75*$C$14</f>
        <v>1.1000000000000001</v>
      </c>
    </row>
    <row r="76" spans="9:18" x14ac:dyDescent="0.3">
      <c r="I76" t="s">
        <v>47</v>
      </c>
      <c r="J76">
        <f>D37</f>
        <v>0.9</v>
      </c>
      <c r="K76">
        <f>F37/E37</f>
        <v>0.8</v>
      </c>
      <c r="L76" s="1">
        <f>$J$61</f>
        <v>0.75</v>
      </c>
      <c r="M76" s="122">
        <f>J76*(K76/L76)</f>
        <v>0.96</v>
      </c>
      <c r="N76" s="121">
        <f>M76*$C$13+J76*$C$14</f>
        <v>0.92999999999999994</v>
      </c>
    </row>
    <row r="77" spans="9:18" x14ac:dyDescent="0.3">
      <c r="I77" t="s">
        <v>46</v>
      </c>
      <c r="J77">
        <f>D38</f>
        <v>0.9</v>
      </c>
      <c r="K77">
        <f>F38/E38</f>
        <v>0.75</v>
      </c>
      <c r="L77" s="1">
        <f>$J$61</f>
        <v>0.75</v>
      </c>
      <c r="M77" s="122">
        <f>J77*(K77/L77)</f>
        <v>0.9</v>
      </c>
      <c r="N77" s="121">
        <f>M77*$C$13+J77*$C$14</f>
        <v>0.9</v>
      </c>
    </row>
    <row r="78" spans="9:18" x14ac:dyDescent="0.3">
      <c r="I78" t="s">
        <v>45</v>
      </c>
      <c r="J78">
        <f>D39</f>
        <v>1.1000000000000001</v>
      </c>
      <c r="K78">
        <f>F39/E39</f>
        <v>0.7</v>
      </c>
      <c r="L78" s="1">
        <f>$J$61</f>
        <v>0.75</v>
      </c>
      <c r="M78" s="122">
        <f>J78*(K78/L78)</f>
        <v>1.0266666666666666</v>
      </c>
      <c r="N78" s="121">
        <f>M78*$C$13+J78*$C$14</f>
        <v>1.0633333333333335</v>
      </c>
    </row>
    <row r="79" spans="9:18" x14ac:dyDescent="0.3">
      <c r="I79" t="s">
        <v>44</v>
      </c>
      <c r="J79">
        <f>D40</f>
        <v>1</v>
      </c>
      <c r="K79">
        <f>F40/E40</f>
        <v>0.75</v>
      </c>
      <c r="L79" s="1">
        <f>$J$61</f>
        <v>0.75</v>
      </c>
      <c r="M79" s="122">
        <f>J79*(K79/L79)</f>
        <v>1</v>
      </c>
      <c r="N79" s="121">
        <f>M79*$C$13+J79*$C$14</f>
        <v>1</v>
      </c>
    </row>
  </sheetData>
  <mergeCells count="7">
    <mergeCell ref="D42:D43"/>
    <mergeCell ref="E42:F42"/>
    <mergeCell ref="C10:F10"/>
    <mergeCell ref="C16:G16"/>
    <mergeCell ref="I16:M16"/>
    <mergeCell ref="D34:D35"/>
    <mergeCell ref="E34:F34"/>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71ED-2BBB-44F3-8F13-AE853B51E7CD}">
  <sheetPr>
    <tabColor theme="9" tint="0.59999389629810485"/>
  </sheetPr>
  <dimension ref="A1:AA38"/>
  <sheetViews>
    <sheetView workbookViewId="0">
      <selection activeCell="N47" sqref="N47"/>
    </sheetView>
  </sheetViews>
  <sheetFormatPr defaultRowHeight="14.4" x14ac:dyDescent="0.3"/>
  <cols>
    <col min="4" max="6" width="18.6640625" customWidth="1"/>
    <col min="10" max="12" width="21.109375" customWidth="1"/>
    <col min="13" max="13" width="20.109375" bestFit="1" customWidth="1"/>
  </cols>
  <sheetData>
    <row r="1" spans="1:8" ht="15" thickBot="1" x14ac:dyDescent="0.35">
      <c r="A1" t="s">
        <v>928</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0.02</v>
      </c>
      <c r="D12" t="s">
        <v>927</v>
      </c>
    </row>
    <row r="13" spans="1:8" x14ac:dyDescent="0.3">
      <c r="D13" t="s">
        <v>926</v>
      </c>
    </row>
    <row r="21" spans="3:13" ht="15" thickBot="1" x14ac:dyDescent="0.35"/>
    <row r="22" spans="3:13" ht="15" thickBot="1" x14ac:dyDescent="0.35">
      <c r="C22" s="399" t="s">
        <v>10</v>
      </c>
      <c r="D22" s="400"/>
      <c r="E22" s="400"/>
      <c r="F22" s="400"/>
      <c r="G22" s="401"/>
      <c r="I22" s="399" t="s">
        <v>0</v>
      </c>
      <c r="J22" s="400"/>
      <c r="K22" s="400"/>
      <c r="L22" s="400"/>
      <c r="M22" s="401"/>
    </row>
    <row r="24" spans="3:13" x14ac:dyDescent="0.3">
      <c r="J24" t="s">
        <v>922</v>
      </c>
      <c r="K24" t="s">
        <v>923</v>
      </c>
      <c r="L24" t="s">
        <v>1073</v>
      </c>
    </row>
    <row r="25" spans="3:13" x14ac:dyDescent="0.3">
      <c r="C25" t="s">
        <v>925</v>
      </c>
      <c r="D25" t="s">
        <v>924</v>
      </c>
      <c r="E25" t="s">
        <v>923</v>
      </c>
      <c r="F25" t="s">
        <v>922</v>
      </c>
      <c r="I25" t="s">
        <v>925</v>
      </c>
      <c r="J25" t="s">
        <v>1072</v>
      </c>
      <c r="K25" t="s">
        <v>1072</v>
      </c>
      <c r="L25" t="s">
        <v>1071</v>
      </c>
      <c r="M25" t="s">
        <v>1070</v>
      </c>
    </row>
    <row r="26" spans="3:13" x14ac:dyDescent="0.3">
      <c r="C26">
        <v>11</v>
      </c>
      <c r="D26" s="41">
        <v>281000</v>
      </c>
      <c r="E26" s="41">
        <v>48000</v>
      </c>
      <c r="F26" s="41">
        <v>241000</v>
      </c>
      <c r="I26">
        <v>11</v>
      </c>
      <c r="J26" s="36">
        <f t="shared" ref="J26:J36" si="0">F26/(1+$C$12)</f>
        <v>236274.50980392157</v>
      </c>
      <c r="K26" s="36">
        <f t="shared" ref="K26:K36" si="1">E26/(1+$C$12)^(0.5)</f>
        <v>47527.082062880363</v>
      </c>
      <c r="L26" s="36">
        <f t="shared" ref="L26:L36" si="2">J26+K26</f>
        <v>283801.59186680196</v>
      </c>
      <c r="M26" s="36">
        <f t="shared" ref="M26:M36" si="3">D26-L26</f>
        <v>-2801.5918668019585</v>
      </c>
    </row>
    <row r="27" spans="3:13" x14ac:dyDescent="0.3">
      <c r="C27">
        <v>10</v>
      </c>
      <c r="D27" s="41">
        <v>71000</v>
      </c>
      <c r="E27" s="41">
        <v>13000</v>
      </c>
      <c r="F27" s="41">
        <v>62000</v>
      </c>
      <c r="I27">
        <v>10</v>
      </c>
      <c r="J27" s="36">
        <f t="shared" si="0"/>
        <v>60784.313725490196</v>
      </c>
      <c r="K27" s="36">
        <f t="shared" si="1"/>
        <v>12871.918058696765</v>
      </c>
      <c r="L27" s="36">
        <f t="shared" si="2"/>
        <v>73656.231784186966</v>
      </c>
      <c r="M27" s="36">
        <f t="shared" si="3"/>
        <v>-2656.2317841869663</v>
      </c>
    </row>
    <row r="28" spans="3:13" x14ac:dyDescent="0.3">
      <c r="C28">
        <v>9</v>
      </c>
      <c r="D28" s="41">
        <v>79000</v>
      </c>
      <c r="E28" s="41">
        <v>15000</v>
      </c>
      <c r="F28" s="41">
        <v>67000</v>
      </c>
      <c r="I28">
        <v>9</v>
      </c>
      <c r="J28" s="36">
        <f t="shared" si="0"/>
        <v>65686.274509803916</v>
      </c>
      <c r="K28" s="36">
        <f t="shared" si="1"/>
        <v>14852.213144650113</v>
      </c>
      <c r="L28" s="36">
        <f t="shared" si="2"/>
        <v>80538.487654454031</v>
      </c>
      <c r="M28" s="36">
        <f t="shared" si="3"/>
        <v>-1538.4876544540311</v>
      </c>
    </row>
    <row r="29" spans="3:13" x14ac:dyDescent="0.3">
      <c r="C29">
        <v>8</v>
      </c>
      <c r="D29" s="41">
        <v>83000</v>
      </c>
      <c r="E29" s="41">
        <v>16000</v>
      </c>
      <c r="F29" s="41">
        <v>73000</v>
      </c>
      <c r="I29">
        <v>8</v>
      </c>
      <c r="J29" s="36">
        <f t="shared" si="0"/>
        <v>71568.627450980392</v>
      </c>
      <c r="K29" s="36">
        <f t="shared" si="1"/>
        <v>15842.360687626788</v>
      </c>
      <c r="L29" s="36">
        <f t="shared" si="2"/>
        <v>87410.988138607179</v>
      </c>
      <c r="M29" s="36">
        <f t="shared" si="3"/>
        <v>-4410.9881386071793</v>
      </c>
    </row>
    <row r="30" spans="3:13" x14ac:dyDescent="0.3">
      <c r="C30">
        <v>7</v>
      </c>
      <c r="D30" s="41">
        <v>94000</v>
      </c>
      <c r="E30" s="41">
        <v>19000</v>
      </c>
      <c r="F30" s="41">
        <v>80000</v>
      </c>
      <c r="I30">
        <v>7</v>
      </c>
      <c r="J30" s="36">
        <f t="shared" si="0"/>
        <v>78431.372549019608</v>
      </c>
      <c r="K30" s="36">
        <f t="shared" si="1"/>
        <v>18812.803316556812</v>
      </c>
      <c r="L30" s="36">
        <f t="shared" si="2"/>
        <v>97244.175865576428</v>
      </c>
      <c r="M30" s="36">
        <f t="shared" si="3"/>
        <v>-3244.1758655764279</v>
      </c>
    </row>
    <row r="31" spans="3:13" x14ac:dyDescent="0.3">
      <c r="C31">
        <v>6</v>
      </c>
      <c r="D31" s="41">
        <v>113000</v>
      </c>
      <c r="E31" s="41">
        <v>18000</v>
      </c>
      <c r="F31" s="41">
        <v>99000</v>
      </c>
      <c r="I31">
        <v>6</v>
      </c>
      <c r="J31" s="36">
        <f t="shared" si="0"/>
        <v>97058.823529411762</v>
      </c>
      <c r="K31" s="36">
        <f t="shared" si="1"/>
        <v>17822.655773580136</v>
      </c>
      <c r="L31" s="36">
        <f t="shared" si="2"/>
        <v>114881.47930299189</v>
      </c>
      <c r="M31" s="36">
        <f t="shared" si="3"/>
        <v>-1881.4793029918947</v>
      </c>
    </row>
    <row r="32" spans="3:13" x14ac:dyDescent="0.3">
      <c r="C32">
        <v>5</v>
      </c>
      <c r="D32" s="41">
        <v>120000</v>
      </c>
      <c r="E32" s="41">
        <v>16000</v>
      </c>
      <c r="F32" s="41">
        <v>102000</v>
      </c>
      <c r="I32">
        <v>5</v>
      </c>
      <c r="J32" s="36">
        <f t="shared" si="0"/>
        <v>100000</v>
      </c>
      <c r="K32" s="36">
        <f t="shared" si="1"/>
        <v>15842.360687626788</v>
      </c>
      <c r="L32" s="36">
        <f t="shared" si="2"/>
        <v>115842.36068762679</v>
      </c>
      <c r="M32" s="36">
        <f t="shared" si="3"/>
        <v>4157.6393123732123</v>
      </c>
    </row>
    <row r="33" spans="3:27" x14ac:dyDescent="0.3">
      <c r="C33">
        <v>4</v>
      </c>
      <c r="D33" s="41">
        <v>135000</v>
      </c>
      <c r="E33" s="41">
        <v>18000</v>
      </c>
      <c r="F33" s="41">
        <v>117000</v>
      </c>
      <c r="I33">
        <v>4</v>
      </c>
      <c r="J33" s="36">
        <f t="shared" si="0"/>
        <v>114705.88235294117</v>
      </c>
      <c r="K33" s="36">
        <f t="shared" si="1"/>
        <v>17822.655773580136</v>
      </c>
      <c r="L33" s="36">
        <f t="shared" si="2"/>
        <v>132528.53812652131</v>
      </c>
      <c r="M33" s="36">
        <f t="shared" si="3"/>
        <v>2471.4618734786927</v>
      </c>
    </row>
    <row r="34" spans="3:27" x14ac:dyDescent="0.3">
      <c r="C34">
        <v>3</v>
      </c>
      <c r="D34" s="41">
        <v>169000</v>
      </c>
      <c r="E34" s="41">
        <v>23000</v>
      </c>
      <c r="F34" s="41">
        <v>146000</v>
      </c>
      <c r="I34">
        <v>3</v>
      </c>
      <c r="J34" s="36">
        <f t="shared" si="0"/>
        <v>143137.25490196078</v>
      </c>
      <c r="K34" s="36">
        <f t="shared" si="1"/>
        <v>22773.393488463509</v>
      </c>
      <c r="L34" s="36">
        <f t="shared" si="2"/>
        <v>165910.64839042429</v>
      </c>
      <c r="M34" s="36">
        <f t="shared" si="3"/>
        <v>3089.3516095757077</v>
      </c>
    </row>
    <row r="35" spans="3:27" x14ac:dyDescent="0.3">
      <c r="C35">
        <v>2</v>
      </c>
      <c r="D35" s="41">
        <v>218000</v>
      </c>
      <c r="E35" s="41">
        <v>38000</v>
      </c>
      <c r="F35" s="41">
        <v>172000</v>
      </c>
      <c r="I35">
        <v>2</v>
      </c>
      <c r="J35" s="36">
        <f t="shared" si="0"/>
        <v>168627.45098039217</v>
      </c>
      <c r="K35" s="36">
        <f t="shared" si="1"/>
        <v>37625.606633113624</v>
      </c>
      <c r="L35" s="36">
        <f t="shared" si="2"/>
        <v>206253.05761350581</v>
      </c>
      <c r="M35" s="36">
        <f t="shared" si="3"/>
        <v>11746.942386494193</v>
      </c>
    </row>
    <row r="36" spans="3:27" x14ac:dyDescent="0.3">
      <c r="C36">
        <v>1</v>
      </c>
      <c r="D36" s="41">
        <v>285000</v>
      </c>
      <c r="E36" s="41">
        <v>60000</v>
      </c>
      <c r="F36" s="41">
        <v>219000</v>
      </c>
      <c r="I36">
        <v>1</v>
      </c>
      <c r="J36" s="36">
        <f t="shared" si="0"/>
        <v>214705.88235294117</v>
      </c>
      <c r="K36" s="36">
        <f t="shared" si="1"/>
        <v>59408.852578600454</v>
      </c>
      <c r="L36" s="36">
        <f t="shared" si="2"/>
        <v>274114.73493154161</v>
      </c>
      <c r="M36" s="36">
        <f t="shared" si="3"/>
        <v>10885.265068458393</v>
      </c>
    </row>
    <row r="37" spans="3:27" x14ac:dyDescent="0.3">
      <c r="C37" t="s">
        <v>921</v>
      </c>
      <c r="D37" s="41" t="s">
        <v>242</v>
      </c>
      <c r="E37" s="41">
        <v>23000</v>
      </c>
      <c r="F37" s="41">
        <v>400000</v>
      </c>
      <c r="I37" s="2" t="s">
        <v>921</v>
      </c>
      <c r="J37" s="2" t="s">
        <v>1069</v>
      </c>
      <c r="K37" s="2"/>
      <c r="L37" s="2"/>
      <c r="M37" s="2"/>
    </row>
    <row r="38" spans="3:27" x14ac:dyDescent="0.3">
      <c r="M38" s="4">
        <f>SUM(M26:M36)</f>
        <v>15817.705637761741</v>
      </c>
      <c r="N38" s="8" t="s">
        <v>1068</v>
      </c>
      <c r="O38" s="8"/>
      <c r="P38" s="8"/>
      <c r="Q38" s="8"/>
      <c r="R38" s="8"/>
      <c r="S38" s="8"/>
      <c r="T38" s="8"/>
      <c r="U38" s="8"/>
      <c r="V38" s="8"/>
      <c r="W38" s="8"/>
      <c r="X38" s="8"/>
      <c r="Y38" s="8"/>
      <c r="Z38" s="8"/>
      <c r="AA38" s="8"/>
    </row>
  </sheetData>
  <mergeCells count="3">
    <mergeCell ref="C10:F10"/>
    <mergeCell ref="C22:G22"/>
    <mergeCell ref="I22:M22"/>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F9D0D-F5CF-4398-A0E0-85636A7B840B}">
  <sheetPr>
    <tabColor theme="5" tint="0.59999389629810485"/>
  </sheetPr>
  <dimension ref="A1:O44"/>
  <sheetViews>
    <sheetView workbookViewId="0">
      <selection activeCell="G54" sqref="G54"/>
    </sheetView>
  </sheetViews>
  <sheetFormatPr defaultRowHeight="14.4" x14ac:dyDescent="0.3"/>
  <cols>
    <col min="4" max="4" width="20.6640625" customWidth="1"/>
    <col min="5" max="5" width="13" customWidth="1"/>
    <col min="6" max="6" width="14.6640625" bestFit="1" customWidth="1"/>
    <col min="7" max="7" width="13.33203125" bestFit="1" customWidth="1"/>
    <col min="8" max="10" width="13.6640625" customWidth="1"/>
    <col min="11" max="11" width="10" bestFit="1" customWidth="1"/>
    <col min="13" max="13" width="9.88671875" bestFit="1" customWidth="1"/>
    <col min="15" max="15" width="9.88671875" bestFit="1" customWidth="1"/>
  </cols>
  <sheetData>
    <row r="1" spans="1:15" ht="15" thickBot="1" x14ac:dyDescent="0.35">
      <c r="A1" t="s">
        <v>939</v>
      </c>
    </row>
    <row r="2" spans="1:15" ht="15" thickBot="1" x14ac:dyDescent="0.35">
      <c r="G2" s="10" t="s">
        <v>16</v>
      </c>
      <c r="H2" s="9"/>
    </row>
    <row r="3" spans="1:15" x14ac:dyDescent="0.3">
      <c r="G3" s="8" t="s">
        <v>15</v>
      </c>
      <c r="H3" s="8"/>
    </row>
    <row r="4" spans="1:15" ht="15" thickBot="1" x14ac:dyDescent="0.35">
      <c r="G4" s="7" t="s">
        <v>14</v>
      </c>
      <c r="H4" s="7"/>
    </row>
    <row r="5" spans="1:15" ht="15.6" thickTop="1" thickBot="1" x14ac:dyDescent="0.35">
      <c r="G5" s="6" t="s">
        <v>13</v>
      </c>
      <c r="H5" s="6"/>
    </row>
    <row r="6" spans="1:15" ht="15" thickTop="1" x14ac:dyDescent="0.3">
      <c r="G6" s="5" t="s">
        <v>12</v>
      </c>
      <c r="H6" s="4"/>
    </row>
    <row r="7" spans="1:15" ht="15" thickBot="1" x14ac:dyDescent="0.35"/>
    <row r="8" spans="1:15" ht="15" thickBot="1" x14ac:dyDescent="0.35">
      <c r="D8" s="399" t="s">
        <v>3</v>
      </c>
      <c r="E8" s="401"/>
    </row>
    <row r="9" spans="1:15" s="40" customFormat="1" x14ac:dyDescent="0.3"/>
    <row r="10" spans="1:15" s="40" customFormat="1" x14ac:dyDescent="0.3">
      <c r="D10" s="287">
        <v>103000</v>
      </c>
      <c r="E10" s="40" t="s">
        <v>938</v>
      </c>
    </row>
    <row r="11" spans="1:15" s="40" customFormat="1" x14ac:dyDescent="0.3">
      <c r="D11" s="287">
        <v>103000</v>
      </c>
      <c r="E11" s="40" t="s">
        <v>937</v>
      </c>
      <c r="M11" s="288"/>
      <c r="O11" s="288"/>
    </row>
    <row r="12" spans="1:15" s="40" customFormat="1" x14ac:dyDescent="0.3">
      <c r="D12" s="287">
        <v>103000</v>
      </c>
      <c r="E12" s="40" t="s">
        <v>936</v>
      </c>
    </row>
    <row r="13" spans="1:15" s="40" customFormat="1" x14ac:dyDescent="0.3">
      <c r="D13" s="40" t="s">
        <v>935</v>
      </c>
    </row>
    <row r="14" spans="1:15" s="40" customFormat="1" x14ac:dyDescent="0.3">
      <c r="D14" s="40">
        <v>100</v>
      </c>
      <c r="E14" s="40" t="s">
        <v>934</v>
      </c>
    </row>
    <row r="15" spans="1:15" s="40" customFormat="1" x14ac:dyDescent="0.3">
      <c r="D15" s="287">
        <v>10043736</v>
      </c>
      <c r="E15" s="40" t="s">
        <v>933</v>
      </c>
    </row>
    <row r="16" spans="1:15" s="40" customFormat="1" x14ac:dyDescent="0.3">
      <c r="D16" s="66">
        <v>0.03</v>
      </c>
      <c r="E16" s="40" t="s">
        <v>932</v>
      </c>
    </row>
    <row r="17" spans="4:11" s="40" customFormat="1" x14ac:dyDescent="0.3">
      <c r="D17" s="66">
        <v>0.6</v>
      </c>
      <c r="E17" s="40" t="s">
        <v>931</v>
      </c>
    </row>
    <row r="18" spans="4:11" s="40" customFormat="1" x14ac:dyDescent="0.3">
      <c r="E18" s="40" t="s">
        <v>930</v>
      </c>
    </row>
    <row r="19" spans="4:11" s="40" customFormat="1" x14ac:dyDescent="0.3">
      <c r="D19" s="40" t="s">
        <v>929</v>
      </c>
    </row>
    <row r="20" spans="4:11" s="40" customFormat="1" x14ac:dyDescent="0.3">
      <c r="D20" s="287">
        <v>50</v>
      </c>
    </row>
    <row r="21" spans="4:11" s="40" customFormat="1" ht="15" thickBot="1" x14ac:dyDescent="0.35"/>
    <row r="22" spans="4:11" ht="15" thickBot="1" x14ac:dyDescent="0.35">
      <c r="D22" s="399" t="s">
        <v>10</v>
      </c>
      <c r="E22" s="401"/>
      <c r="G22" s="399" t="s">
        <v>0</v>
      </c>
      <c r="H22" s="400"/>
      <c r="I22" s="400"/>
      <c r="J22" s="400"/>
      <c r="K22" s="401"/>
    </row>
    <row r="23" spans="4:11" x14ac:dyDescent="0.3">
      <c r="D23" s="286"/>
      <c r="E23" s="286"/>
      <c r="F23" s="39"/>
    </row>
    <row r="28" spans="4:11" x14ac:dyDescent="0.3">
      <c r="D28" s="35"/>
    </row>
    <row r="29" spans="4:11" x14ac:dyDescent="0.3">
      <c r="D29" s="35"/>
    </row>
    <row r="30" spans="4:11" x14ac:dyDescent="0.3">
      <c r="D30" s="35"/>
    </row>
    <row r="31" spans="4:11" x14ac:dyDescent="0.3">
      <c r="D31" s="35"/>
    </row>
    <row r="32" spans="4:11" x14ac:dyDescent="0.3">
      <c r="D32" s="35"/>
    </row>
    <row r="33" spans="4:11" x14ac:dyDescent="0.3">
      <c r="D33" s="35"/>
    </row>
    <row r="35" spans="4:11" x14ac:dyDescent="0.3">
      <c r="H35" s="75"/>
      <c r="I35" s="75"/>
      <c r="J35" s="162"/>
      <c r="K35" s="162"/>
    </row>
    <row r="40" spans="4:11" x14ac:dyDescent="0.3">
      <c r="I40" s="75"/>
      <c r="J40" s="75"/>
      <c r="K40" s="75"/>
    </row>
    <row r="41" spans="4:11" x14ac:dyDescent="0.3">
      <c r="H41" s="282"/>
    </row>
    <row r="42" spans="4:11" x14ac:dyDescent="0.3">
      <c r="I42" s="1"/>
    </row>
    <row r="44" spans="4:11" x14ac:dyDescent="0.3">
      <c r="I44" s="70"/>
      <c r="J44" s="70"/>
      <c r="K44" s="70"/>
    </row>
  </sheetData>
  <mergeCells count="3">
    <mergeCell ref="D8:E8"/>
    <mergeCell ref="D22:E22"/>
    <mergeCell ref="G22:K22"/>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F7E2-009E-4B7B-A550-2E3AFE5E379E}">
  <sheetPr>
    <tabColor theme="9" tint="0.59999389629810485"/>
  </sheetPr>
  <dimension ref="A1:O44"/>
  <sheetViews>
    <sheetView workbookViewId="0">
      <selection activeCell="N47" sqref="N47"/>
    </sheetView>
  </sheetViews>
  <sheetFormatPr defaultRowHeight="14.4" x14ac:dyDescent="0.3"/>
  <cols>
    <col min="4" max="4" width="20.6640625" customWidth="1"/>
    <col min="5" max="5" width="13" customWidth="1"/>
    <col min="6" max="6" width="14.6640625" bestFit="1" customWidth="1"/>
    <col min="7" max="7" width="13.33203125" bestFit="1" customWidth="1"/>
    <col min="8" max="10" width="13.6640625" customWidth="1"/>
    <col min="11" max="11" width="10" bestFit="1" customWidth="1"/>
    <col min="13" max="13" width="9.88671875" bestFit="1" customWidth="1"/>
    <col min="15" max="15" width="9.88671875" bestFit="1" customWidth="1"/>
  </cols>
  <sheetData>
    <row r="1" spans="1:15" ht="15" thickBot="1" x14ac:dyDescent="0.35">
      <c r="A1" t="s">
        <v>939</v>
      </c>
    </row>
    <row r="2" spans="1:15" ht="15" thickBot="1" x14ac:dyDescent="0.35">
      <c r="G2" s="10" t="s">
        <v>16</v>
      </c>
      <c r="H2" s="9"/>
    </row>
    <row r="3" spans="1:15" x14ac:dyDescent="0.3">
      <c r="G3" s="8" t="s">
        <v>15</v>
      </c>
      <c r="H3" s="8"/>
    </row>
    <row r="4" spans="1:15" ht="15" thickBot="1" x14ac:dyDescent="0.35">
      <c r="G4" s="7" t="s">
        <v>14</v>
      </c>
      <c r="H4" s="7"/>
    </row>
    <row r="5" spans="1:15" ht="15.6" thickTop="1" thickBot="1" x14ac:dyDescent="0.35">
      <c r="G5" s="6" t="s">
        <v>13</v>
      </c>
      <c r="H5" s="6"/>
    </row>
    <row r="6" spans="1:15" ht="15" thickTop="1" x14ac:dyDescent="0.3">
      <c r="G6" s="5" t="s">
        <v>12</v>
      </c>
      <c r="H6" s="4"/>
    </row>
    <row r="7" spans="1:15" ht="15" thickBot="1" x14ac:dyDescent="0.35"/>
    <row r="8" spans="1:15" ht="15" thickBot="1" x14ac:dyDescent="0.35">
      <c r="D8" s="399" t="s">
        <v>3</v>
      </c>
      <c r="E8" s="401"/>
    </row>
    <row r="9" spans="1:15" s="40" customFormat="1" x14ac:dyDescent="0.3"/>
    <row r="10" spans="1:15" s="40" customFormat="1" x14ac:dyDescent="0.3">
      <c r="D10" s="287">
        <v>103000</v>
      </c>
      <c r="E10" s="40" t="s">
        <v>938</v>
      </c>
    </row>
    <row r="11" spans="1:15" s="40" customFormat="1" x14ac:dyDescent="0.3">
      <c r="D11" s="287">
        <v>103000</v>
      </c>
      <c r="E11" s="40" t="s">
        <v>937</v>
      </c>
      <c r="M11" s="288"/>
      <c r="O11" s="288"/>
    </row>
    <row r="12" spans="1:15" s="40" customFormat="1" x14ac:dyDescent="0.3">
      <c r="D12" s="287">
        <v>103000</v>
      </c>
      <c r="E12" s="40" t="s">
        <v>936</v>
      </c>
    </row>
    <row r="13" spans="1:15" s="40" customFormat="1" x14ac:dyDescent="0.3">
      <c r="D13" s="40" t="s">
        <v>935</v>
      </c>
    </row>
    <row r="14" spans="1:15" s="40" customFormat="1" x14ac:dyDescent="0.3">
      <c r="D14" s="40">
        <v>100</v>
      </c>
      <c r="E14" s="40" t="s">
        <v>934</v>
      </c>
    </row>
    <row r="15" spans="1:15" s="40" customFormat="1" x14ac:dyDescent="0.3">
      <c r="D15" s="287">
        <v>10043736</v>
      </c>
      <c r="E15" s="40" t="s">
        <v>933</v>
      </c>
    </row>
    <row r="16" spans="1:15" s="40" customFormat="1" x14ac:dyDescent="0.3">
      <c r="D16" s="66">
        <v>0.03</v>
      </c>
      <c r="E16" s="40" t="s">
        <v>932</v>
      </c>
    </row>
    <row r="17" spans="4:11" s="40" customFormat="1" x14ac:dyDescent="0.3">
      <c r="D17" s="66">
        <v>0.6</v>
      </c>
      <c r="E17" s="40" t="s">
        <v>931</v>
      </c>
    </row>
    <row r="18" spans="4:11" s="40" customFormat="1" x14ac:dyDescent="0.3">
      <c r="E18" s="40" t="s">
        <v>930</v>
      </c>
    </row>
    <row r="19" spans="4:11" s="40" customFormat="1" x14ac:dyDescent="0.3">
      <c r="D19" s="40" t="s">
        <v>929</v>
      </c>
    </row>
    <row r="20" spans="4:11" s="40" customFormat="1" x14ac:dyDescent="0.3">
      <c r="D20" s="287">
        <v>50</v>
      </c>
    </row>
    <row r="21" spans="4:11" s="40" customFormat="1" ht="15" thickBot="1" x14ac:dyDescent="0.35"/>
    <row r="22" spans="4:11" ht="15" thickBot="1" x14ac:dyDescent="0.35">
      <c r="D22" s="399" t="s">
        <v>10</v>
      </c>
      <c r="E22" s="401"/>
      <c r="G22" s="399" t="s">
        <v>0</v>
      </c>
      <c r="H22" s="400"/>
      <c r="I22" s="400"/>
      <c r="J22" s="400"/>
      <c r="K22" s="401"/>
    </row>
    <row r="23" spans="4:11" x14ac:dyDescent="0.3">
      <c r="D23" s="286"/>
      <c r="E23" s="286"/>
      <c r="F23" s="39"/>
      <c r="G23" s="326" t="s">
        <v>1079</v>
      </c>
      <c r="H23" s="39">
        <f>1/(1+D16)</f>
        <v>0.970873786407767</v>
      </c>
      <c r="I23" s="39"/>
      <c r="J23" s="39"/>
    </row>
    <row r="25" spans="4:11" x14ac:dyDescent="0.3">
      <c r="G25" s="162">
        <f>D15/D14</f>
        <v>100437.36</v>
      </c>
      <c r="H25" t="s">
        <v>1078</v>
      </c>
    </row>
    <row r="26" spans="4:11" x14ac:dyDescent="0.3">
      <c r="G26" s="162">
        <f>G25*(1+D16)/D17</f>
        <v>172417.46800000002</v>
      </c>
      <c r="H26" t="s">
        <v>1077</v>
      </c>
    </row>
    <row r="27" spans="4:11" x14ac:dyDescent="0.3">
      <c r="G27" s="75">
        <f>D10</f>
        <v>103000</v>
      </c>
      <c r="H27" t="s">
        <v>1076</v>
      </c>
    </row>
    <row r="28" spans="4:11" x14ac:dyDescent="0.3">
      <c r="D28" s="35"/>
      <c r="G28" s="162">
        <f>G26-G27</f>
        <v>69417.468000000023</v>
      </c>
      <c r="H28" t="s">
        <v>1075</v>
      </c>
    </row>
    <row r="29" spans="4:11" x14ac:dyDescent="0.3">
      <c r="D29" s="35"/>
    </row>
    <row r="30" spans="4:11" x14ac:dyDescent="0.3">
      <c r="D30" s="35"/>
      <c r="G30" s="4">
        <f>G28*D20</f>
        <v>3470873.4000000013</v>
      </c>
      <c r="H30" t="s">
        <v>1074</v>
      </c>
    </row>
    <row r="31" spans="4:11" x14ac:dyDescent="0.3">
      <c r="D31" s="35"/>
    </row>
    <row r="32" spans="4:11" x14ac:dyDescent="0.3">
      <c r="D32" s="35"/>
    </row>
    <row r="33" spans="4:11" x14ac:dyDescent="0.3">
      <c r="D33" s="35"/>
    </row>
    <row r="35" spans="4:11" x14ac:dyDescent="0.3">
      <c r="H35" s="75"/>
      <c r="I35" s="75"/>
      <c r="J35" s="162"/>
      <c r="K35" s="162"/>
    </row>
    <row r="40" spans="4:11" x14ac:dyDescent="0.3">
      <c r="I40" s="75"/>
      <c r="J40" s="75"/>
      <c r="K40" s="75"/>
    </row>
    <row r="41" spans="4:11" x14ac:dyDescent="0.3">
      <c r="H41" s="282"/>
    </row>
    <row r="42" spans="4:11" x14ac:dyDescent="0.3">
      <c r="I42" s="1"/>
    </row>
    <row r="44" spans="4:11" x14ac:dyDescent="0.3">
      <c r="I44" s="70"/>
      <c r="J44" s="70"/>
      <c r="K44" s="70"/>
    </row>
  </sheetData>
  <mergeCells count="3">
    <mergeCell ref="D8:E8"/>
    <mergeCell ref="D22:E22"/>
    <mergeCell ref="G22:K22"/>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EDDE-320C-41C5-A61E-950AF46AA975}">
  <sheetPr>
    <tabColor theme="5" tint="0.59999389629810485"/>
  </sheetPr>
  <dimension ref="A1:H31"/>
  <sheetViews>
    <sheetView workbookViewId="0">
      <selection activeCell="G54" sqref="G54"/>
    </sheetView>
  </sheetViews>
  <sheetFormatPr defaultRowHeight="14.4" x14ac:dyDescent="0.3"/>
  <cols>
    <col min="4" max="4" width="10.21875" customWidth="1"/>
    <col min="5" max="5" width="13" customWidth="1"/>
    <col min="6" max="6" width="14.6640625" bestFit="1" customWidth="1"/>
    <col min="9" max="9" width="9.6640625" bestFit="1" customWidth="1"/>
    <col min="14" max="14" width="35.33203125" bestFit="1" customWidth="1"/>
  </cols>
  <sheetData>
    <row r="1" spans="1:8" ht="15" thickBot="1" x14ac:dyDescent="0.35">
      <c r="A1" t="s">
        <v>950</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1"/>
    </row>
    <row r="9" spans="1:8" s="40" customFormat="1" x14ac:dyDescent="0.3"/>
    <row r="10" spans="1:8" s="40" customFormat="1" x14ac:dyDescent="0.3">
      <c r="D10" s="40">
        <v>1000</v>
      </c>
      <c r="E10" s="40" t="s">
        <v>949</v>
      </c>
    </row>
    <row r="11" spans="1:8" s="40" customFormat="1" x14ac:dyDescent="0.3">
      <c r="D11" s="40">
        <v>0.08</v>
      </c>
      <c r="E11" s="40" t="s">
        <v>27</v>
      </c>
    </row>
    <row r="12" spans="1:8" s="40" customFormat="1" x14ac:dyDescent="0.3">
      <c r="D12" s="40">
        <v>0.03</v>
      </c>
      <c r="E12" s="40" t="s">
        <v>948</v>
      </c>
    </row>
    <row r="13" spans="1:8" s="40" customFormat="1" x14ac:dyDescent="0.3">
      <c r="D13" s="40" t="s">
        <v>947</v>
      </c>
    </row>
    <row r="14" spans="1:8" s="40" customFormat="1" x14ac:dyDescent="0.3"/>
    <row r="15" spans="1:8" s="40" customFormat="1" x14ac:dyDescent="0.3"/>
    <row r="16" spans="1:8" s="40" customFormat="1" x14ac:dyDescent="0.3">
      <c r="D16" s="35" t="s">
        <v>946</v>
      </c>
      <c r="E16" s="93">
        <v>121</v>
      </c>
    </row>
    <row r="17" spans="1:8" s="40" customFormat="1" x14ac:dyDescent="0.3">
      <c r="D17" s="35" t="s">
        <v>945</v>
      </c>
      <c r="E17" s="93">
        <v>109</v>
      </c>
    </row>
    <row r="18" spans="1:8" s="40" customFormat="1" x14ac:dyDescent="0.3">
      <c r="D18" s="35" t="s">
        <v>944</v>
      </c>
      <c r="E18" s="93">
        <v>3</v>
      </c>
    </row>
    <row r="19" spans="1:8" s="40" customFormat="1" x14ac:dyDescent="0.3">
      <c r="D19" s="35" t="s">
        <v>943</v>
      </c>
      <c r="E19" s="93">
        <v>8</v>
      </c>
    </row>
    <row r="20" spans="1:8" s="40" customFormat="1" x14ac:dyDescent="0.3">
      <c r="D20" s="35" t="s">
        <v>942</v>
      </c>
      <c r="E20" s="93">
        <v>22</v>
      </c>
    </row>
    <row r="21" spans="1:8" s="40" customFormat="1" x14ac:dyDescent="0.3">
      <c r="D21" s="35" t="s">
        <v>941</v>
      </c>
      <c r="E21" s="93">
        <v>90</v>
      </c>
    </row>
    <row r="22" spans="1:8" s="40" customFormat="1" x14ac:dyDescent="0.3">
      <c r="D22" s="93"/>
      <c r="E22" s="93"/>
    </row>
    <row r="23" spans="1:8" s="40" customFormat="1" ht="15" thickBot="1" x14ac:dyDescent="0.35"/>
    <row r="24" spans="1:8" ht="15" thickBot="1" x14ac:dyDescent="0.35">
      <c r="D24" s="399" t="s">
        <v>0</v>
      </c>
      <c r="E24" s="400"/>
      <c r="F24" s="400"/>
      <c r="G24" s="400"/>
      <c r="H24" s="401"/>
    </row>
    <row r="25" spans="1:8" x14ac:dyDescent="0.3">
      <c r="D25" s="93"/>
      <c r="E25" s="93"/>
      <c r="F25" s="93"/>
      <c r="G25" s="93"/>
      <c r="H25" s="93"/>
    </row>
    <row r="26" spans="1:8" x14ac:dyDescent="0.3">
      <c r="A26" t="s">
        <v>774</v>
      </c>
    </row>
    <row r="31" spans="1:8" x14ac:dyDescent="0.3">
      <c r="A31" t="s">
        <v>940</v>
      </c>
    </row>
  </sheetData>
  <mergeCells count="2">
    <mergeCell ref="D8:E8"/>
    <mergeCell ref="D24:H24"/>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67A2D-C756-4142-8F95-C6A903306C48}">
  <sheetPr>
    <tabColor theme="9" tint="0.59999389629810485"/>
  </sheetPr>
  <dimension ref="A1:P43"/>
  <sheetViews>
    <sheetView workbookViewId="0">
      <selection activeCell="N47" sqref="N47"/>
    </sheetView>
  </sheetViews>
  <sheetFormatPr defaultRowHeight="14.4" x14ac:dyDescent="0.3"/>
  <cols>
    <col min="4" max="4" width="10.21875" customWidth="1"/>
    <col min="5" max="5" width="13" customWidth="1"/>
    <col min="6" max="6" width="14.6640625" bestFit="1" customWidth="1"/>
    <col min="9" max="9" width="9.6640625" bestFit="1" customWidth="1"/>
    <col min="14" max="14" width="35.33203125" bestFit="1" customWidth="1"/>
  </cols>
  <sheetData>
    <row r="1" spans="1:8" ht="15" thickBot="1" x14ac:dyDescent="0.35">
      <c r="A1" t="s">
        <v>950</v>
      </c>
    </row>
    <row r="2" spans="1:8" ht="15" thickBot="1" x14ac:dyDescent="0.35">
      <c r="G2" s="10" t="s">
        <v>16</v>
      </c>
      <c r="H2" s="9"/>
    </row>
    <row r="3" spans="1:8" x14ac:dyDescent="0.3">
      <c r="G3" s="8" t="s">
        <v>15</v>
      </c>
      <c r="H3" s="8"/>
    </row>
    <row r="4" spans="1:8" ht="15" thickBot="1" x14ac:dyDescent="0.35">
      <c r="G4" s="7" t="s">
        <v>14</v>
      </c>
      <c r="H4" s="7"/>
    </row>
    <row r="5" spans="1:8" ht="15.6" thickTop="1" thickBot="1" x14ac:dyDescent="0.35">
      <c r="G5" s="6" t="s">
        <v>13</v>
      </c>
      <c r="H5" s="6"/>
    </row>
    <row r="6" spans="1:8" ht="15" thickTop="1" x14ac:dyDescent="0.3">
      <c r="G6" s="5" t="s">
        <v>12</v>
      </c>
      <c r="H6" s="4"/>
    </row>
    <row r="7" spans="1:8" ht="15" thickBot="1" x14ac:dyDescent="0.35"/>
    <row r="8" spans="1:8" ht="15" thickBot="1" x14ac:dyDescent="0.35">
      <c r="D8" s="399" t="s">
        <v>3</v>
      </c>
      <c r="E8" s="401"/>
    </row>
    <row r="9" spans="1:8" s="40" customFormat="1" x14ac:dyDescent="0.3"/>
    <row r="10" spans="1:8" s="40" customFormat="1" x14ac:dyDescent="0.3">
      <c r="D10" s="40">
        <v>1000</v>
      </c>
      <c r="E10" s="40" t="s">
        <v>949</v>
      </c>
    </row>
    <row r="11" spans="1:8" s="40" customFormat="1" x14ac:dyDescent="0.3">
      <c r="D11" s="40">
        <v>0.08</v>
      </c>
      <c r="E11" s="40" t="s">
        <v>27</v>
      </c>
    </row>
    <row r="12" spans="1:8" s="40" customFormat="1" x14ac:dyDescent="0.3">
      <c r="D12" s="40">
        <v>0.03</v>
      </c>
      <c r="E12" s="40" t="s">
        <v>948</v>
      </c>
    </row>
    <row r="13" spans="1:8" s="40" customFormat="1" x14ac:dyDescent="0.3">
      <c r="D13" s="40" t="s">
        <v>947</v>
      </c>
    </row>
    <row r="14" spans="1:8" s="40" customFormat="1" x14ac:dyDescent="0.3"/>
    <row r="15" spans="1:8" s="40" customFormat="1" x14ac:dyDescent="0.3"/>
    <row r="16" spans="1:8" s="40" customFormat="1" x14ac:dyDescent="0.3">
      <c r="D16" s="35" t="s">
        <v>946</v>
      </c>
      <c r="E16" s="93">
        <v>121</v>
      </c>
    </row>
    <row r="17" spans="1:10" s="40" customFormat="1" x14ac:dyDescent="0.3">
      <c r="D17" s="35" t="s">
        <v>945</v>
      </c>
      <c r="E17" s="93">
        <v>109</v>
      </c>
    </row>
    <row r="18" spans="1:10" s="40" customFormat="1" x14ac:dyDescent="0.3">
      <c r="D18" s="35" t="s">
        <v>944</v>
      </c>
      <c r="E18" s="93">
        <v>3</v>
      </c>
    </row>
    <row r="19" spans="1:10" s="40" customFormat="1" x14ac:dyDescent="0.3">
      <c r="D19" s="35" t="s">
        <v>943</v>
      </c>
      <c r="E19" s="93">
        <v>8</v>
      </c>
    </row>
    <row r="20" spans="1:10" s="40" customFormat="1" x14ac:dyDescent="0.3">
      <c r="D20" s="35" t="s">
        <v>942</v>
      </c>
      <c r="E20" s="93">
        <v>22</v>
      </c>
    </row>
    <row r="21" spans="1:10" s="40" customFormat="1" x14ac:dyDescent="0.3">
      <c r="D21" s="35" t="s">
        <v>941</v>
      </c>
      <c r="E21" s="93">
        <v>90</v>
      </c>
    </row>
    <row r="22" spans="1:10" s="40" customFormat="1" x14ac:dyDescent="0.3">
      <c r="D22" s="93"/>
      <c r="E22" s="93"/>
    </row>
    <row r="23" spans="1:10" s="40" customFormat="1" ht="15" thickBot="1" x14ac:dyDescent="0.35"/>
    <row r="24" spans="1:10" ht="15" thickBot="1" x14ac:dyDescent="0.35">
      <c r="D24" s="399" t="s">
        <v>0</v>
      </c>
      <c r="E24" s="400"/>
      <c r="F24" s="400"/>
      <c r="G24" s="400"/>
      <c r="H24" s="401"/>
    </row>
    <row r="25" spans="1:10" x14ac:dyDescent="0.3">
      <c r="D25" s="93"/>
      <c r="E25" s="93"/>
      <c r="F25" s="93"/>
      <c r="G25" s="93"/>
      <c r="H25" s="93"/>
    </row>
    <row r="26" spans="1:10" x14ac:dyDescent="0.3">
      <c r="A26" t="s">
        <v>774</v>
      </c>
      <c r="C26">
        <f>SUM(E17:E20)</f>
        <v>142</v>
      </c>
      <c r="D26" s="40" t="s">
        <v>1088</v>
      </c>
      <c r="F26" s="93"/>
      <c r="G26" s="93"/>
      <c r="H26" s="93"/>
    </row>
    <row r="27" spans="1:10" x14ac:dyDescent="0.3">
      <c r="C27">
        <f>E16+E21</f>
        <v>211</v>
      </c>
      <c r="D27" s="40" t="s">
        <v>1087</v>
      </c>
      <c r="F27" s="93"/>
      <c r="G27" s="93"/>
      <c r="H27" s="93"/>
    </row>
    <row r="28" spans="1:10" x14ac:dyDescent="0.3">
      <c r="C28" s="5">
        <f>C26-C27</f>
        <v>-69</v>
      </c>
      <c r="D28" t="s">
        <v>1086</v>
      </c>
      <c r="F28" s="93"/>
      <c r="G28" s="93"/>
      <c r="H28" s="93"/>
    </row>
    <row r="29" spans="1:10" x14ac:dyDescent="0.3">
      <c r="F29" s="93"/>
      <c r="G29" s="93"/>
      <c r="H29" s="93"/>
    </row>
    <row r="30" spans="1:10" x14ac:dyDescent="0.3">
      <c r="D30" s="93"/>
      <c r="E30" s="93"/>
      <c r="F30" s="93"/>
      <c r="G30" s="93"/>
      <c r="H30" s="93"/>
    </row>
    <row r="31" spans="1:10" x14ac:dyDescent="0.3">
      <c r="A31" t="s">
        <v>940</v>
      </c>
      <c r="D31">
        <f>1/(1+D12)</f>
        <v>0.970873786407767</v>
      </c>
      <c r="E31" s="327" t="s">
        <v>1085</v>
      </c>
      <c r="G31" s="39"/>
      <c r="H31" s="39"/>
      <c r="I31" s="39"/>
      <c r="J31" s="39"/>
    </row>
    <row r="33" spans="4:16" x14ac:dyDescent="0.3">
      <c r="D33" t="s">
        <v>279</v>
      </c>
      <c r="E33" t="s">
        <v>26</v>
      </c>
      <c r="F33" t="s">
        <v>1084</v>
      </c>
      <c r="G33" t="s">
        <v>826</v>
      </c>
      <c r="H33" t="s">
        <v>1080</v>
      </c>
      <c r="I33" t="s">
        <v>1083</v>
      </c>
    </row>
    <row r="34" spans="4:16" x14ac:dyDescent="0.3">
      <c r="D34">
        <v>0</v>
      </c>
      <c r="E34">
        <v>1</v>
      </c>
      <c r="F34">
        <v>1</v>
      </c>
      <c r="G34" s="41">
        <f>D10</f>
        <v>1000</v>
      </c>
      <c r="H34" s="41">
        <f>$F$43</f>
        <v>247.51661900548442</v>
      </c>
      <c r="I34" s="41">
        <f>G34-H34</f>
        <v>752.48338099451553</v>
      </c>
    </row>
    <row r="35" spans="4:16" x14ac:dyDescent="0.3">
      <c r="D35">
        <v>1</v>
      </c>
      <c r="E35">
        <f>E34*(1-$D$11)</f>
        <v>0.92</v>
      </c>
      <c r="F35">
        <f>1/(1+$D$12)^D35</f>
        <v>0.970873786407767</v>
      </c>
      <c r="G35" s="41">
        <v>0</v>
      </c>
      <c r="H35" s="41">
        <f>$F$43</f>
        <v>247.51661900548442</v>
      </c>
      <c r="I35" s="41">
        <f>I34/$D$31-H35*E35</f>
        <v>547.34259293930529</v>
      </c>
      <c r="J35" s="8" t="s">
        <v>1082</v>
      </c>
      <c r="K35" s="8"/>
      <c r="L35" s="8"/>
    </row>
    <row r="36" spans="4:16" x14ac:dyDescent="0.3">
      <c r="D36" s="35">
        <f>D35+1</f>
        <v>2</v>
      </c>
      <c r="E36">
        <f>E35*(1-$D$11)</f>
        <v>0.84640000000000004</v>
      </c>
      <c r="F36">
        <f>1/(1+$D$12)^D36</f>
        <v>0.94259590913375435</v>
      </c>
      <c r="G36">
        <v>0</v>
      </c>
      <c r="H36" s="41">
        <f>$F$43</f>
        <v>247.51661900548442</v>
      </c>
      <c r="I36" s="41">
        <f>I35/$D$31-H36*E36</f>
        <v>354.26480440124249</v>
      </c>
    </row>
    <row r="37" spans="4:16" x14ac:dyDescent="0.3">
      <c r="D37" s="35">
        <f>D36+1</f>
        <v>3</v>
      </c>
      <c r="E37">
        <f>E36*(1-$D$11)</f>
        <v>0.77868800000000005</v>
      </c>
      <c r="F37">
        <f>1/(1+$D$12)^D37</f>
        <v>0.91514165935315961</v>
      </c>
      <c r="G37">
        <v>0</v>
      </c>
      <c r="H37" s="41">
        <f>$F$43</f>
        <v>247.51661900548442</v>
      </c>
      <c r="I37" s="41">
        <f>I36/$D$31-H37*E37</f>
        <v>172.15452751313711</v>
      </c>
      <c r="K37" s="4">
        <f>I36/D31</f>
        <v>364.89274853327976</v>
      </c>
      <c r="L37" s="8" t="s">
        <v>1081</v>
      </c>
      <c r="M37" s="8"/>
      <c r="N37" s="8"/>
      <c r="O37" s="8"/>
      <c r="P37" s="8"/>
    </row>
    <row r="38" spans="4:16" x14ac:dyDescent="0.3">
      <c r="D38" s="35">
        <f>D37+1</f>
        <v>4</v>
      </c>
      <c r="E38">
        <f>E37*(1-$D$11)</f>
        <v>0.71639296000000008</v>
      </c>
      <c r="F38">
        <f>1/(1+$D$12)^D38</f>
        <v>0.888487047915689</v>
      </c>
      <c r="G38">
        <v>0</v>
      </c>
      <c r="H38" s="41">
        <f>$F$43</f>
        <v>247.51661900548442</v>
      </c>
      <c r="I38" s="41">
        <f>I37/$D$31-H38*E38</f>
        <v>0</v>
      </c>
    </row>
    <row r="39" spans="4:16" x14ac:dyDescent="0.3">
      <c r="D39" s="35">
        <f>D38+1</f>
        <v>5</v>
      </c>
      <c r="E39">
        <v>0</v>
      </c>
      <c r="F39">
        <f>1/(1+$D$12)^D39</f>
        <v>0.86260878438416411</v>
      </c>
      <c r="H39" s="41"/>
      <c r="I39" s="41"/>
    </row>
    <row r="40" spans="4:16" x14ac:dyDescent="0.3">
      <c r="D40" s="35"/>
    </row>
    <row r="41" spans="4:16" x14ac:dyDescent="0.3">
      <c r="D41" s="35"/>
      <c r="F41">
        <f>SUMPRODUCT(E34:E39,F34:F39)</f>
        <v>4.0401327556023308</v>
      </c>
      <c r="G41" t="s">
        <v>1022</v>
      </c>
    </row>
    <row r="43" spans="4:16" x14ac:dyDescent="0.3">
      <c r="F43" s="36">
        <f>D10/F41</f>
        <v>247.51661900548442</v>
      </c>
      <c r="G43" t="s">
        <v>1080</v>
      </c>
    </row>
  </sheetData>
  <mergeCells count="2">
    <mergeCell ref="D8:E8"/>
    <mergeCell ref="D24:H24"/>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3D09-9AF4-41F3-9DC5-62347C4673A9}">
  <sheetPr>
    <tabColor theme="5" tint="0.59999389629810485"/>
  </sheetPr>
  <dimension ref="A1:H22"/>
  <sheetViews>
    <sheetView workbookViewId="0">
      <selection activeCell="G54" sqref="G54"/>
    </sheetView>
  </sheetViews>
  <sheetFormatPr defaultRowHeight="14.4" x14ac:dyDescent="0.3"/>
  <cols>
    <col min="6" max="6" width="15" bestFit="1" customWidth="1"/>
    <col min="8" max="8" width="16.21875" bestFit="1" customWidth="1"/>
    <col min="15" max="16" width="9.88671875" bestFit="1" customWidth="1"/>
  </cols>
  <sheetData>
    <row r="1" spans="1:8" ht="15" thickBot="1" x14ac:dyDescent="0.35">
      <c r="A1" t="s">
        <v>955</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3" spans="1:8" x14ac:dyDescent="0.3">
      <c r="C13">
        <v>120</v>
      </c>
      <c r="D13" t="s">
        <v>954</v>
      </c>
    </row>
    <row r="14" spans="1:8" x14ac:dyDescent="0.3">
      <c r="C14">
        <v>0.08</v>
      </c>
      <c r="D14" t="s">
        <v>953</v>
      </c>
    </row>
    <row r="15" spans="1:8" x14ac:dyDescent="0.3">
      <c r="C15">
        <v>0.02</v>
      </c>
      <c r="D15" t="s">
        <v>952</v>
      </c>
    </row>
    <row r="16" spans="1:8" x14ac:dyDescent="0.3">
      <c r="C16">
        <v>0.8</v>
      </c>
      <c r="D16" t="s">
        <v>951</v>
      </c>
    </row>
    <row r="21" spans="3:7" ht="15" thickBot="1" x14ac:dyDescent="0.35"/>
    <row r="22" spans="3:7" ht="15" thickBot="1" x14ac:dyDescent="0.35">
      <c r="C22" s="399" t="s">
        <v>0</v>
      </c>
      <c r="D22" s="400"/>
      <c r="E22" s="400"/>
      <c r="F22" s="400"/>
      <c r="G22" s="401"/>
    </row>
  </sheetData>
  <mergeCells count="2">
    <mergeCell ref="C10:F10"/>
    <mergeCell ref="C22:G22"/>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BFDB3-82A6-4F8C-9CEC-1E852B8851FD}">
  <sheetPr>
    <tabColor theme="9" tint="0.59999389629810485"/>
  </sheetPr>
  <dimension ref="A1:Q37"/>
  <sheetViews>
    <sheetView workbookViewId="0">
      <selection activeCell="N47" sqref="N47"/>
    </sheetView>
  </sheetViews>
  <sheetFormatPr defaultRowHeight="14.4" x14ac:dyDescent="0.3"/>
  <cols>
    <col min="6" max="6" width="15" bestFit="1" customWidth="1"/>
    <col min="8" max="8" width="16.21875" bestFit="1" customWidth="1"/>
    <col min="15" max="16" width="9.88671875" bestFit="1" customWidth="1"/>
  </cols>
  <sheetData>
    <row r="1" spans="1:8" ht="15" thickBot="1" x14ac:dyDescent="0.35">
      <c r="A1" t="s">
        <v>955</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3" spans="1:8" x14ac:dyDescent="0.3">
      <c r="C13">
        <v>120</v>
      </c>
      <c r="D13" t="s">
        <v>954</v>
      </c>
    </row>
    <row r="14" spans="1:8" x14ac:dyDescent="0.3">
      <c r="C14">
        <v>0.08</v>
      </c>
      <c r="D14" t="s">
        <v>953</v>
      </c>
    </row>
    <row r="15" spans="1:8" x14ac:dyDescent="0.3">
      <c r="C15">
        <v>0.02</v>
      </c>
      <c r="D15" t="s">
        <v>952</v>
      </c>
    </row>
    <row r="16" spans="1:8" x14ac:dyDescent="0.3">
      <c r="C16">
        <v>0.8</v>
      </c>
      <c r="D16" t="s">
        <v>951</v>
      </c>
    </row>
    <row r="21" spans="3:17" ht="15" thickBot="1" x14ac:dyDescent="0.35"/>
    <row r="22" spans="3:17" ht="15" thickBot="1" x14ac:dyDescent="0.35">
      <c r="C22" s="399" t="s">
        <v>0</v>
      </c>
      <c r="D22" s="400"/>
      <c r="E22" s="400"/>
      <c r="F22" s="400"/>
      <c r="G22" s="401"/>
    </row>
    <row r="25" spans="3:17" x14ac:dyDescent="0.3">
      <c r="C25" t="s">
        <v>279</v>
      </c>
      <c r="D25" t="s">
        <v>26</v>
      </c>
      <c r="F25" t="s">
        <v>1093</v>
      </c>
      <c r="G25" t="s">
        <v>547</v>
      </c>
      <c r="H25" t="s">
        <v>1092</v>
      </c>
      <c r="I25" t="s">
        <v>39</v>
      </c>
      <c r="K25" t="s">
        <v>988</v>
      </c>
      <c r="L25" t="s">
        <v>39</v>
      </c>
      <c r="M25" t="s">
        <v>1091</v>
      </c>
      <c r="O25" t="s">
        <v>1090</v>
      </c>
      <c r="P25" t="s">
        <v>1089</v>
      </c>
    </row>
    <row r="26" spans="3:17" x14ac:dyDescent="0.3">
      <c r="C26">
        <v>0</v>
      </c>
      <c r="D26">
        <v>1</v>
      </c>
      <c r="F26">
        <f>(1/(1+$C$15))^(C26)</f>
        <v>1</v>
      </c>
      <c r="G26">
        <v>1</v>
      </c>
      <c r="K26" s="36">
        <f>$H$35</f>
        <v>1295.0221258920872</v>
      </c>
      <c r="M26">
        <v>0</v>
      </c>
      <c r="O26" s="36">
        <f>M26*D26*$C$13</f>
        <v>0</v>
      </c>
      <c r="P26" s="36">
        <f>M26*$C$13</f>
        <v>0</v>
      </c>
    </row>
    <row r="27" spans="3:17" x14ac:dyDescent="0.3">
      <c r="C27">
        <v>1</v>
      </c>
      <c r="D27">
        <f>D26*$C$16</f>
        <v>0.8</v>
      </c>
      <c r="F27">
        <f>(1/(1+$C$15))^(C27)</f>
        <v>0.98039215686274506</v>
      </c>
      <c r="G27">
        <v>1</v>
      </c>
      <c r="H27">
        <f>(1/(1+$C$15))^(C27)</f>
        <v>0.98039215686274506</v>
      </c>
      <c r="I27" s="41">
        <v>1500</v>
      </c>
      <c r="K27" s="36">
        <f>$H$35</f>
        <v>1295.0221258920872</v>
      </c>
      <c r="L27" s="41">
        <f>I27</f>
        <v>1500</v>
      </c>
      <c r="M27" s="36">
        <f>(M26+K26)*(D26/D27)*(1+$C$15)-I27</f>
        <v>151.15321051241131</v>
      </c>
      <c r="O27" s="36">
        <f>M27*D27*$C$13</f>
        <v>14510.708209191487</v>
      </c>
      <c r="P27" s="36">
        <f>M27*$C$13</f>
        <v>18138.385261489355</v>
      </c>
    </row>
    <row r="28" spans="3:17" x14ac:dyDescent="0.3">
      <c r="C28">
        <v>2</v>
      </c>
      <c r="D28">
        <f>D27*$C$16</f>
        <v>0.64000000000000012</v>
      </c>
      <c r="F28">
        <f>(1/(1+$C$15))^(C28)</f>
        <v>0.96116878123798533</v>
      </c>
      <c r="G28">
        <v>1</v>
      </c>
      <c r="H28">
        <f>(1/(1+$C$15))^(C28)</f>
        <v>0.96116878123798533</v>
      </c>
      <c r="I28" s="41">
        <f>I27*(1+$C$14)</f>
        <v>1620</v>
      </c>
      <c r="K28" s="36">
        <f>$H$35</f>
        <v>1295.0221258920872</v>
      </c>
      <c r="L28" s="41">
        <f>I28</f>
        <v>1620</v>
      </c>
      <c r="M28" s="36">
        <f>(M27+K27)*(D27/D28)*(1+$C$15)-I28</f>
        <v>223.87355391573533</v>
      </c>
      <c r="O28" s="4">
        <f>M28*D28*$C$13</f>
        <v>17193.488940728475</v>
      </c>
      <c r="P28" s="4">
        <f>M28*$C$13</f>
        <v>26864.826469888241</v>
      </c>
      <c r="Q28" t="s">
        <v>294</v>
      </c>
    </row>
    <row r="29" spans="3:17" x14ac:dyDescent="0.3">
      <c r="C29">
        <v>3</v>
      </c>
      <c r="D29">
        <f>D28*$C$16</f>
        <v>0.51200000000000012</v>
      </c>
      <c r="F29">
        <f>(1/(1+$C$15))^(C29)</f>
        <v>0.94232233454704439</v>
      </c>
      <c r="G29">
        <v>1</v>
      </c>
      <c r="H29">
        <f>(1/(1+$C$15))^(C29)</f>
        <v>0.94232233454704439</v>
      </c>
      <c r="I29" s="41">
        <f>I28*(1+$C$14)</f>
        <v>1749.6000000000001</v>
      </c>
      <c r="K29" s="36">
        <f>$H$35</f>
        <v>1295.0221258920872</v>
      </c>
      <c r="L29" s="41">
        <f>I29</f>
        <v>1749.6000000000001</v>
      </c>
      <c r="M29" s="36">
        <f>(M28+K28)*(D28/D29)*(1+$C$15)-I29</f>
        <v>186.99199175497347</v>
      </c>
      <c r="O29" s="36">
        <f>M29*D29*$C$13</f>
        <v>11488.787973425573</v>
      </c>
      <c r="P29" s="36">
        <f>M29*$C$13</f>
        <v>22439.039010596818</v>
      </c>
    </row>
    <row r="30" spans="3:17" x14ac:dyDescent="0.3">
      <c r="C30">
        <v>4</v>
      </c>
      <c r="D30">
        <f>D29*$C$16</f>
        <v>0.40960000000000013</v>
      </c>
      <c r="H30">
        <f>(1/(1+$C$15))^(C30)</f>
        <v>0.92384542602651409</v>
      </c>
      <c r="I30" s="41">
        <f>I29*(1+$C$14)</f>
        <v>1889.5680000000002</v>
      </c>
      <c r="L30" s="41">
        <f>I30</f>
        <v>1889.5680000000002</v>
      </c>
      <c r="M30" s="36">
        <f>(M29+K29)*(D29/D30)*(1+$C$15)-I30</f>
        <v>2.0463630789890885E-12</v>
      </c>
      <c r="O30" s="36">
        <f>M30*D30*$C$13</f>
        <v>1.0058283805847172E-10</v>
      </c>
      <c r="P30" s="36">
        <f>M30*$C$13</f>
        <v>2.4556356947869062E-10</v>
      </c>
    </row>
    <row r="31" spans="3:17" x14ac:dyDescent="0.3">
      <c r="C31" s="2">
        <v>5</v>
      </c>
      <c r="D31" s="2">
        <v>0</v>
      </c>
      <c r="E31" s="2"/>
      <c r="F31" s="2"/>
      <c r="G31" s="2"/>
      <c r="H31" s="2"/>
      <c r="I31" s="2"/>
    </row>
    <row r="32" spans="3:17" x14ac:dyDescent="0.3">
      <c r="G32">
        <f>SUMPRODUCT(G26:G29,F26:F29,D26:D29)</f>
        <v>2.8819307807705932</v>
      </c>
      <c r="I32" s="41">
        <f>SUMPRODUCT(I27:I30,H27:H30,D27:D30)</f>
        <v>3732.1641263873762</v>
      </c>
    </row>
    <row r="35" spans="7:8" x14ac:dyDescent="0.3">
      <c r="H35" s="36">
        <f>I32/G32</f>
        <v>1295.0221258920872</v>
      </c>
    </row>
    <row r="37" spans="7:8" x14ac:dyDescent="0.3">
      <c r="G37" t="s">
        <v>4</v>
      </c>
      <c r="H37" s="4">
        <f>H35*C13</f>
        <v>155402.65510705046</v>
      </c>
    </row>
  </sheetData>
  <mergeCells count="2">
    <mergeCell ref="C10:F10"/>
    <mergeCell ref="C22:G22"/>
  </mergeCell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3BC0-6D7D-4C27-8B17-C7B488473A79}">
  <sheetPr>
    <tabColor theme="1"/>
  </sheetPr>
  <dimension ref="A1"/>
  <sheetViews>
    <sheetView workbookViewId="0">
      <selection activeCell="L44" sqref="L44"/>
    </sheetView>
  </sheetViews>
  <sheetFormatPr defaultRowHeight="14.4" x14ac:dyDescent="0.3"/>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8835A-21B0-4B81-ACB2-C24B985C279E}">
  <sheetPr>
    <tabColor theme="5" tint="0.39997558519241921"/>
  </sheetPr>
  <dimension ref="A1:M56"/>
  <sheetViews>
    <sheetView workbookViewId="0">
      <selection activeCell="K54" sqref="K54"/>
    </sheetView>
  </sheetViews>
  <sheetFormatPr defaultRowHeight="14.4" x14ac:dyDescent="0.3"/>
  <cols>
    <col min="3" max="3" width="10.109375" bestFit="1" customWidth="1"/>
    <col min="9" max="9" width="9.88671875" customWidth="1"/>
    <col min="12" max="12" width="11.88671875" customWidth="1"/>
    <col min="14" max="14" width="10.5546875" bestFit="1" customWidth="1"/>
    <col min="15" max="15" width="11.109375" bestFit="1" customWidth="1"/>
    <col min="17" max="17" width="11.109375" bestFit="1" customWidth="1"/>
    <col min="21" max="21" width="10.109375" bestFit="1" customWidth="1"/>
  </cols>
  <sheetData>
    <row r="1" spans="1:8" ht="15" thickBot="1" x14ac:dyDescent="0.35">
      <c r="A1" t="s">
        <v>1104</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0.05</v>
      </c>
      <c r="D12" t="s">
        <v>1103</v>
      </c>
    </row>
    <row r="13" spans="1:8" x14ac:dyDescent="0.3">
      <c r="C13">
        <v>2.5000000000000001E-3</v>
      </c>
      <c r="D13" t="s">
        <v>1102</v>
      </c>
    </row>
    <row r="14" spans="1:8" x14ac:dyDescent="0.3">
      <c r="C14">
        <v>0.06</v>
      </c>
    </row>
    <row r="15" spans="1:8" x14ac:dyDescent="0.3">
      <c r="C15">
        <v>0.04</v>
      </c>
    </row>
    <row r="16" spans="1:8" x14ac:dyDescent="0.3">
      <c r="D16" t="s">
        <v>1101</v>
      </c>
    </row>
    <row r="17" spans="3:13" x14ac:dyDescent="0.3">
      <c r="C17" s="1">
        <v>0.03</v>
      </c>
      <c r="D17" t="s">
        <v>1100</v>
      </c>
    </row>
    <row r="18" spans="3:13" x14ac:dyDescent="0.3">
      <c r="C18" s="1">
        <v>0</v>
      </c>
      <c r="D18" t="s">
        <v>1099</v>
      </c>
    </row>
    <row r="19" spans="3:13" x14ac:dyDescent="0.3">
      <c r="C19" s="70">
        <v>65</v>
      </c>
      <c r="D19" t="s">
        <v>1098</v>
      </c>
    </row>
    <row r="20" spans="3:13" x14ac:dyDescent="0.3">
      <c r="C20">
        <v>13</v>
      </c>
      <c r="D20" t="s">
        <v>1097</v>
      </c>
    </row>
    <row r="23" spans="3:13" ht="15" thickBot="1" x14ac:dyDescent="0.35"/>
    <row r="24" spans="3:13" ht="15" thickBot="1" x14ac:dyDescent="0.35">
      <c r="C24" s="399" t="s">
        <v>10</v>
      </c>
      <c r="D24" s="400"/>
      <c r="E24" s="400"/>
      <c r="F24" s="400"/>
      <c r="G24" s="401"/>
      <c r="I24" s="399" t="s">
        <v>0</v>
      </c>
      <c r="J24" s="400"/>
      <c r="K24" s="400"/>
      <c r="L24" s="400"/>
      <c r="M24" s="401"/>
    </row>
    <row r="26" spans="3:13" x14ac:dyDescent="0.3">
      <c r="C26" s="58" t="s">
        <v>1096</v>
      </c>
      <c r="D26" s="58" t="s">
        <v>508</v>
      </c>
      <c r="E26" s="58" t="s">
        <v>39</v>
      </c>
      <c r="F26" s="58" t="s">
        <v>7</v>
      </c>
      <c r="G26" s="58" t="s">
        <v>1095</v>
      </c>
    </row>
    <row r="27" spans="3:13" x14ac:dyDescent="0.3">
      <c r="C27">
        <v>1341209</v>
      </c>
      <c r="D27" t="s">
        <v>867</v>
      </c>
      <c r="E27">
        <v>3055</v>
      </c>
      <c r="F27">
        <v>40</v>
      </c>
      <c r="G27">
        <v>5</v>
      </c>
    </row>
    <row r="28" spans="3:13" x14ac:dyDescent="0.3">
      <c r="C28">
        <v>1358335</v>
      </c>
      <c r="D28" t="s">
        <v>867</v>
      </c>
      <c r="E28">
        <v>5385</v>
      </c>
      <c r="F28">
        <v>35</v>
      </c>
      <c r="G28">
        <v>5</v>
      </c>
    </row>
    <row r="29" spans="3:13" x14ac:dyDescent="0.3">
      <c r="C29">
        <v>1358385</v>
      </c>
      <c r="D29" t="s">
        <v>867</v>
      </c>
      <c r="E29">
        <v>3076</v>
      </c>
      <c r="F29">
        <v>50</v>
      </c>
      <c r="G29">
        <v>20</v>
      </c>
    </row>
    <row r="30" spans="3:13" x14ac:dyDescent="0.3">
      <c r="C30">
        <v>1358468</v>
      </c>
      <c r="D30" t="s">
        <v>867</v>
      </c>
      <c r="E30">
        <v>2793</v>
      </c>
      <c r="F30">
        <v>38</v>
      </c>
      <c r="G30">
        <v>18</v>
      </c>
    </row>
    <row r="31" spans="3:13" x14ac:dyDescent="0.3">
      <c r="C31">
        <v>1358474</v>
      </c>
      <c r="D31" t="s">
        <v>867</v>
      </c>
      <c r="E31">
        <v>3673</v>
      </c>
      <c r="F31">
        <v>42</v>
      </c>
      <c r="G31">
        <v>12</v>
      </c>
    </row>
    <row r="32" spans="3:13" x14ac:dyDescent="0.3">
      <c r="C32">
        <v>1358535</v>
      </c>
      <c r="D32" t="s">
        <v>867</v>
      </c>
      <c r="E32">
        <v>3291</v>
      </c>
      <c r="F32">
        <v>45</v>
      </c>
      <c r="G32">
        <v>8</v>
      </c>
    </row>
    <row r="33" spans="1:7" x14ac:dyDescent="0.3">
      <c r="C33" s="2">
        <v>1358622</v>
      </c>
      <c r="D33" s="2" t="s">
        <v>867</v>
      </c>
      <c r="E33" s="2">
        <v>1074</v>
      </c>
      <c r="F33" s="2">
        <v>55</v>
      </c>
      <c r="G33" s="2">
        <v>25</v>
      </c>
    </row>
    <row r="34" spans="1:7" x14ac:dyDescent="0.3">
      <c r="C34">
        <v>1358650</v>
      </c>
      <c r="D34" t="s">
        <v>1094</v>
      </c>
      <c r="E34">
        <v>3364</v>
      </c>
      <c r="F34">
        <v>65</v>
      </c>
      <c r="G34">
        <v>30</v>
      </c>
    </row>
    <row r="35" spans="1:7" x14ac:dyDescent="0.3">
      <c r="C35">
        <v>1358687</v>
      </c>
      <c r="D35" t="s">
        <v>1094</v>
      </c>
      <c r="E35">
        <v>2666</v>
      </c>
      <c r="F35">
        <v>66</v>
      </c>
      <c r="G35">
        <v>40</v>
      </c>
    </row>
    <row r="36" spans="1:7" x14ac:dyDescent="0.3">
      <c r="C36">
        <v>1358754</v>
      </c>
      <c r="D36" t="s">
        <v>1094</v>
      </c>
      <c r="E36">
        <v>2796</v>
      </c>
      <c r="F36">
        <v>69</v>
      </c>
      <c r="G36">
        <v>35</v>
      </c>
    </row>
    <row r="37" spans="1:7" x14ac:dyDescent="0.3">
      <c r="C37">
        <v>1358812</v>
      </c>
      <c r="D37" t="s">
        <v>1094</v>
      </c>
      <c r="E37">
        <v>4132</v>
      </c>
      <c r="F37">
        <v>72</v>
      </c>
      <c r="G37">
        <v>25</v>
      </c>
    </row>
    <row r="38" spans="1:7" x14ac:dyDescent="0.3">
      <c r="C38">
        <v>1358842</v>
      </c>
      <c r="D38" t="s">
        <v>1094</v>
      </c>
      <c r="E38">
        <v>2130</v>
      </c>
      <c r="F38">
        <v>68</v>
      </c>
      <c r="G38">
        <v>20</v>
      </c>
    </row>
    <row r="43" spans="1:7" s="2" customFormat="1" x14ac:dyDescent="0.3">
      <c r="A43" s="2" t="s">
        <v>58</v>
      </c>
    </row>
    <row r="52" spans="1:4" s="2" customFormat="1" x14ac:dyDescent="0.3">
      <c r="A52" s="2" t="s">
        <v>52</v>
      </c>
    </row>
    <row r="56" spans="1:4" x14ac:dyDescent="0.3">
      <c r="B56" s="36"/>
      <c r="C56" s="36"/>
      <c r="D56" s="36"/>
    </row>
  </sheetData>
  <mergeCells count="3">
    <mergeCell ref="C10:F10"/>
    <mergeCell ref="C24:G24"/>
    <mergeCell ref="I24:M24"/>
  </mergeCell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096C-9488-42B2-9EA9-454421ECD24E}">
  <sheetPr>
    <tabColor theme="9" tint="0.59999389629810485"/>
  </sheetPr>
  <dimension ref="A1:W92"/>
  <sheetViews>
    <sheetView workbookViewId="0">
      <selection activeCell="U45" sqref="U45"/>
    </sheetView>
  </sheetViews>
  <sheetFormatPr defaultRowHeight="14.4" x14ac:dyDescent="0.3"/>
  <cols>
    <col min="3" max="3" width="10.109375" bestFit="1" customWidth="1"/>
    <col min="9" max="9" width="9.88671875" customWidth="1"/>
    <col min="12" max="12" width="11.88671875" customWidth="1"/>
    <col min="14" max="14" width="10.5546875" bestFit="1" customWidth="1"/>
    <col min="15" max="15" width="11.109375" bestFit="1" customWidth="1"/>
    <col min="17" max="17" width="11.109375" bestFit="1" customWidth="1"/>
    <col min="21" max="21" width="10.109375" bestFit="1" customWidth="1"/>
  </cols>
  <sheetData>
    <row r="1" spans="1:8" ht="15" thickBot="1" x14ac:dyDescent="0.35">
      <c r="A1" t="s">
        <v>1104</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1">
        <v>0.05</v>
      </c>
      <c r="D12" t="s">
        <v>1103</v>
      </c>
    </row>
    <row r="13" spans="1:8" x14ac:dyDescent="0.3">
      <c r="C13">
        <v>2.5000000000000001E-3</v>
      </c>
      <c r="D13" t="s">
        <v>1102</v>
      </c>
    </row>
    <row r="14" spans="1:8" x14ac:dyDescent="0.3">
      <c r="C14">
        <v>0.06</v>
      </c>
    </row>
    <row r="15" spans="1:8" x14ac:dyDescent="0.3">
      <c r="C15">
        <v>0.04</v>
      </c>
    </row>
    <row r="16" spans="1:8" x14ac:dyDescent="0.3">
      <c r="D16" t="s">
        <v>1101</v>
      </c>
    </row>
    <row r="17" spans="3:19" x14ac:dyDescent="0.3">
      <c r="C17" s="1">
        <v>0.03</v>
      </c>
      <c r="D17" t="s">
        <v>1100</v>
      </c>
    </row>
    <row r="18" spans="3:19" x14ac:dyDescent="0.3">
      <c r="C18" s="1">
        <v>0</v>
      </c>
      <c r="D18" t="s">
        <v>1099</v>
      </c>
    </row>
    <row r="19" spans="3:19" x14ac:dyDescent="0.3">
      <c r="C19" s="70">
        <v>65</v>
      </c>
      <c r="D19" t="s">
        <v>1098</v>
      </c>
    </row>
    <row r="20" spans="3:19" x14ac:dyDescent="0.3">
      <c r="C20">
        <v>13</v>
      </c>
      <c r="D20" t="s">
        <v>1097</v>
      </c>
    </row>
    <row r="23" spans="3:19" ht="15" thickBot="1" x14ac:dyDescent="0.35"/>
    <row r="24" spans="3:19" ht="15" thickBot="1" x14ac:dyDescent="0.35">
      <c r="C24" s="399" t="s">
        <v>10</v>
      </c>
      <c r="D24" s="400"/>
      <c r="E24" s="400"/>
      <c r="F24" s="400"/>
      <c r="G24" s="401"/>
      <c r="I24" s="399" t="s">
        <v>0</v>
      </c>
      <c r="J24" s="400"/>
      <c r="K24" s="400"/>
      <c r="L24" s="400"/>
      <c r="M24" s="401"/>
    </row>
    <row r="25" spans="3:19" x14ac:dyDescent="0.3">
      <c r="R25" t="s">
        <v>279</v>
      </c>
    </row>
    <row r="26" spans="3:19" x14ac:dyDescent="0.3">
      <c r="C26" s="58" t="s">
        <v>1096</v>
      </c>
      <c r="D26" s="58" t="s">
        <v>508</v>
      </c>
      <c r="E26" s="58" t="s">
        <v>39</v>
      </c>
      <c r="F26" s="58" t="s">
        <v>7</v>
      </c>
      <c r="G26" s="58" t="s">
        <v>1095</v>
      </c>
      <c r="H26" s="58"/>
      <c r="I26" s="58" t="s">
        <v>1246</v>
      </c>
      <c r="J26" s="58" t="s">
        <v>1245</v>
      </c>
      <c r="K26" s="58" t="s">
        <v>1244</v>
      </c>
      <c r="L26" s="58" t="s">
        <v>1243</v>
      </c>
      <c r="M26" s="58" t="s">
        <v>1242</v>
      </c>
      <c r="N26" s="58" t="s">
        <v>1236</v>
      </c>
      <c r="O26" s="58" t="s">
        <v>1235</v>
      </c>
      <c r="R26">
        <v>1</v>
      </c>
      <c r="S26">
        <f>1+0.06</f>
        <v>1.06</v>
      </c>
    </row>
    <row r="27" spans="3:19" x14ac:dyDescent="0.3">
      <c r="C27">
        <v>1341209</v>
      </c>
      <c r="D27" t="s">
        <v>867</v>
      </c>
      <c r="E27">
        <v>3055</v>
      </c>
      <c r="F27">
        <v>40</v>
      </c>
      <c r="G27">
        <v>5</v>
      </c>
      <c r="I27" s="348">
        <f t="shared" ref="I27:I33" si="0">(1-$C$17)^($C$19-F27)</f>
        <v>0.46697470525437179</v>
      </c>
      <c r="J27" s="349">
        <f t="shared" ref="J27:J33" si="1">$S$35*(1+$C$15)^($C$19-9-F27)</f>
        <v>2.905114528854964</v>
      </c>
      <c r="K27" s="349">
        <f t="shared" ref="K27:K33" si="2">1/(1+$C$12)^($C$19-F27)</f>
        <v>0.29530277169776209</v>
      </c>
      <c r="L27" s="349">
        <f t="shared" ref="L27:L33" si="3">G27/($C$19-F27+G27)</f>
        <v>0.16666666666666666</v>
      </c>
      <c r="M27">
        <f t="shared" ref="M27:M38" si="4">$C$20</f>
        <v>13</v>
      </c>
      <c r="N27" s="41">
        <f t="shared" ref="N27:N33" si="5">M27*K27*J27*I27*E27</f>
        <v>15910.312326604504</v>
      </c>
      <c r="O27" s="41">
        <f t="shared" ref="O27:O33" si="6">N27*L27</f>
        <v>2651.7187211007504</v>
      </c>
      <c r="R27">
        <f t="shared" ref="R27:R34" si="7">1+R26</f>
        <v>2</v>
      </c>
      <c r="S27">
        <f t="shared" ref="S27:S34" si="8">S26-$C$13</f>
        <v>1.0575000000000001</v>
      </c>
    </row>
    <row r="28" spans="3:19" x14ac:dyDescent="0.3">
      <c r="C28">
        <v>1358335</v>
      </c>
      <c r="D28" t="s">
        <v>867</v>
      </c>
      <c r="E28">
        <v>5385</v>
      </c>
      <c r="F28">
        <v>35</v>
      </c>
      <c r="G28">
        <v>5</v>
      </c>
      <c r="I28" s="348">
        <f t="shared" si="0"/>
        <v>0.4010070685431576</v>
      </c>
      <c r="J28" s="349">
        <f t="shared" si="1"/>
        <v>3.5345160233358017</v>
      </c>
      <c r="K28" s="349">
        <f t="shared" si="2"/>
        <v>0.23137744865585813</v>
      </c>
      <c r="L28" s="349">
        <f t="shared" si="3"/>
        <v>0.14285714285714285</v>
      </c>
      <c r="M28">
        <f t="shared" si="4"/>
        <v>13</v>
      </c>
      <c r="N28" s="41">
        <f t="shared" si="5"/>
        <v>22957.895284908074</v>
      </c>
      <c r="O28" s="41">
        <f t="shared" si="6"/>
        <v>3279.6993264154389</v>
      </c>
      <c r="R28">
        <f t="shared" si="7"/>
        <v>3</v>
      </c>
      <c r="S28">
        <f t="shared" si="8"/>
        <v>1.0550000000000002</v>
      </c>
    </row>
    <row r="29" spans="3:19" x14ac:dyDescent="0.3">
      <c r="C29">
        <v>1358385</v>
      </c>
      <c r="D29" t="s">
        <v>867</v>
      </c>
      <c r="E29">
        <v>3076</v>
      </c>
      <c r="F29">
        <v>50</v>
      </c>
      <c r="G29">
        <v>20</v>
      </c>
      <c r="I29" s="348">
        <f t="shared" si="0"/>
        <v>0.63325118913678924</v>
      </c>
      <c r="J29" s="349">
        <f t="shared" si="1"/>
        <v>1.9625912820296549</v>
      </c>
      <c r="K29" s="349">
        <f t="shared" si="2"/>
        <v>0.48101709809097021</v>
      </c>
      <c r="L29" s="349">
        <f t="shared" si="3"/>
        <v>0.5714285714285714</v>
      </c>
      <c r="M29">
        <f t="shared" si="4"/>
        <v>13</v>
      </c>
      <c r="N29" s="41">
        <f t="shared" si="5"/>
        <v>23905.403398930725</v>
      </c>
      <c r="O29" s="41">
        <f t="shared" si="6"/>
        <v>13660.230513674698</v>
      </c>
      <c r="R29">
        <f t="shared" si="7"/>
        <v>4</v>
      </c>
      <c r="S29">
        <f t="shared" si="8"/>
        <v>1.0525000000000002</v>
      </c>
    </row>
    <row r="30" spans="3:19" x14ac:dyDescent="0.3">
      <c r="C30">
        <v>1358468</v>
      </c>
      <c r="D30" t="s">
        <v>867</v>
      </c>
      <c r="E30">
        <v>2793</v>
      </c>
      <c r="F30">
        <v>38</v>
      </c>
      <c r="G30">
        <v>18</v>
      </c>
      <c r="I30" s="348">
        <f t="shared" si="0"/>
        <v>0.43937650017383845</v>
      </c>
      <c r="J30" s="349">
        <f t="shared" si="1"/>
        <v>3.1421718744095295</v>
      </c>
      <c r="K30" s="349">
        <f t="shared" si="2"/>
        <v>0.2678483190002377</v>
      </c>
      <c r="L30" s="349">
        <f t="shared" si="3"/>
        <v>0.4</v>
      </c>
      <c r="M30">
        <f t="shared" si="4"/>
        <v>13</v>
      </c>
      <c r="N30" s="41">
        <f t="shared" si="5"/>
        <v>13426.721328735275</v>
      </c>
      <c r="O30" s="41">
        <f t="shared" si="6"/>
        <v>5370.6885314941101</v>
      </c>
      <c r="R30">
        <f t="shared" si="7"/>
        <v>5</v>
      </c>
      <c r="S30">
        <f t="shared" si="8"/>
        <v>1.0500000000000003</v>
      </c>
    </row>
    <row r="31" spans="3:19" x14ac:dyDescent="0.3">
      <c r="C31">
        <v>1358474</v>
      </c>
      <c r="D31" t="s">
        <v>867</v>
      </c>
      <c r="E31">
        <v>3673</v>
      </c>
      <c r="F31">
        <v>42</v>
      </c>
      <c r="G31">
        <v>12</v>
      </c>
      <c r="I31" s="348">
        <f t="shared" si="0"/>
        <v>0.49630641434198303</v>
      </c>
      <c r="J31" s="349">
        <f t="shared" si="1"/>
        <v>2.6859416871809945</v>
      </c>
      <c r="K31" s="349">
        <f t="shared" si="2"/>
        <v>0.32557130579678267</v>
      </c>
      <c r="L31" s="349">
        <f t="shared" si="3"/>
        <v>0.34285714285714286</v>
      </c>
      <c r="M31">
        <f t="shared" si="4"/>
        <v>13</v>
      </c>
      <c r="N31" s="41">
        <f t="shared" si="5"/>
        <v>20723.202457520267</v>
      </c>
      <c r="O31" s="41">
        <f t="shared" si="6"/>
        <v>7105.0979854355201</v>
      </c>
      <c r="R31">
        <f t="shared" si="7"/>
        <v>6</v>
      </c>
      <c r="S31">
        <f t="shared" si="8"/>
        <v>1.0475000000000003</v>
      </c>
    </row>
    <row r="32" spans="3:19" x14ac:dyDescent="0.3">
      <c r="C32">
        <v>1358535</v>
      </c>
      <c r="D32" t="s">
        <v>867</v>
      </c>
      <c r="E32">
        <v>3291</v>
      </c>
      <c r="F32">
        <v>45</v>
      </c>
      <c r="G32">
        <v>8</v>
      </c>
      <c r="I32" s="348">
        <f t="shared" si="0"/>
        <v>0.54379434292674711</v>
      </c>
      <c r="J32" s="349">
        <f t="shared" si="1"/>
        <v>2.3877923795063172</v>
      </c>
      <c r="K32" s="349">
        <f t="shared" si="2"/>
        <v>0.37688948287300061</v>
      </c>
      <c r="L32" s="349">
        <f t="shared" si="3"/>
        <v>0.2857142857142857</v>
      </c>
      <c r="M32">
        <f t="shared" si="4"/>
        <v>13</v>
      </c>
      <c r="N32" s="41">
        <f t="shared" si="5"/>
        <v>20937.098700015678</v>
      </c>
      <c r="O32" s="41">
        <f t="shared" si="6"/>
        <v>5982.028200004479</v>
      </c>
      <c r="R32">
        <f t="shared" si="7"/>
        <v>7</v>
      </c>
      <c r="S32">
        <f t="shared" si="8"/>
        <v>1.0450000000000004</v>
      </c>
    </row>
    <row r="33" spans="1:19" x14ac:dyDescent="0.3">
      <c r="C33" s="2">
        <v>1358622</v>
      </c>
      <c r="D33" s="2" t="s">
        <v>867</v>
      </c>
      <c r="E33" s="2">
        <v>1074</v>
      </c>
      <c r="F33" s="2">
        <v>55</v>
      </c>
      <c r="G33" s="2">
        <v>25</v>
      </c>
      <c r="H33" s="2"/>
      <c r="I33" s="347">
        <f t="shared" si="0"/>
        <v>0.7374241268949282</v>
      </c>
      <c r="J33" s="346">
        <f t="shared" si="1"/>
        <v>1.613106974189761</v>
      </c>
      <c r="K33" s="346">
        <f t="shared" si="2"/>
        <v>0.61391325354075932</v>
      </c>
      <c r="L33" s="346">
        <f t="shared" si="3"/>
        <v>0.7142857142857143</v>
      </c>
      <c r="M33" s="2">
        <f t="shared" si="4"/>
        <v>13</v>
      </c>
      <c r="N33" s="241">
        <f t="shared" si="5"/>
        <v>10196.125079742282</v>
      </c>
      <c r="O33" s="241">
        <f t="shared" si="6"/>
        <v>7282.9464855302012</v>
      </c>
      <c r="R33">
        <f t="shared" si="7"/>
        <v>8</v>
      </c>
      <c r="S33">
        <f t="shared" si="8"/>
        <v>1.0425000000000004</v>
      </c>
    </row>
    <row r="34" spans="1:19" x14ac:dyDescent="0.3">
      <c r="C34">
        <v>1358650</v>
      </c>
      <c r="D34" t="s">
        <v>1094</v>
      </c>
      <c r="E34">
        <v>3364</v>
      </c>
      <c r="F34">
        <v>65</v>
      </c>
      <c r="G34">
        <v>30</v>
      </c>
      <c r="I34" s="348"/>
      <c r="M34">
        <f t="shared" si="4"/>
        <v>13</v>
      </c>
      <c r="N34" s="41">
        <f>M34*E34</f>
        <v>43732</v>
      </c>
      <c r="O34" s="41">
        <f>N34</f>
        <v>43732</v>
      </c>
      <c r="R34">
        <f t="shared" si="7"/>
        <v>9</v>
      </c>
      <c r="S34">
        <f t="shared" si="8"/>
        <v>1.0400000000000005</v>
      </c>
    </row>
    <row r="35" spans="1:19" x14ac:dyDescent="0.3">
      <c r="C35">
        <v>1358687</v>
      </c>
      <c r="D35" t="s">
        <v>1094</v>
      </c>
      <c r="E35">
        <v>2666</v>
      </c>
      <c r="F35">
        <v>66</v>
      </c>
      <c r="G35">
        <v>40</v>
      </c>
      <c r="I35" s="348"/>
      <c r="M35">
        <f t="shared" si="4"/>
        <v>13</v>
      </c>
      <c r="N35" s="41">
        <f>M35*E35</f>
        <v>34658</v>
      </c>
      <c r="O35" s="41">
        <f>N35</f>
        <v>34658</v>
      </c>
      <c r="S35">
        <f>PRODUCT(S26:S34)</f>
        <v>1.5510643982593855</v>
      </c>
    </row>
    <row r="36" spans="1:19" x14ac:dyDescent="0.3">
      <c r="C36">
        <v>1358754</v>
      </c>
      <c r="D36" t="s">
        <v>1094</v>
      </c>
      <c r="E36">
        <v>2796</v>
      </c>
      <c r="F36">
        <v>69</v>
      </c>
      <c r="G36">
        <v>35</v>
      </c>
      <c r="I36" s="348"/>
      <c r="M36">
        <f t="shared" si="4"/>
        <v>13</v>
      </c>
      <c r="N36" s="41">
        <f>M36*E36</f>
        <v>36348</v>
      </c>
      <c r="O36" s="41">
        <f>N36</f>
        <v>36348</v>
      </c>
    </row>
    <row r="37" spans="1:19" x14ac:dyDescent="0.3">
      <c r="C37">
        <v>1358812</v>
      </c>
      <c r="D37" t="s">
        <v>1094</v>
      </c>
      <c r="E37">
        <v>4132</v>
      </c>
      <c r="F37">
        <v>72</v>
      </c>
      <c r="G37">
        <v>25</v>
      </c>
      <c r="I37" s="348"/>
      <c r="M37">
        <f t="shared" si="4"/>
        <v>13</v>
      </c>
      <c r="N37" s="41">
        <f>M37*E37</f>
        <v>53716</v>
      </c>
      <c r="O37" s="41">
        <f>N37</f>
        <v>53716</v>
      </c>
    </row>
    <row r="38" spans="1:19" x14ac:dyDescent="0.3">
      <c r="C38">
        <v>1358842</v>
      </c>
      <c r="D38" t="s">
        <v>1094</v>
      </c>
      <c r="E38">
        <v>2130</v>
      </c>
      <c r="F38">
        <v>68</v>
      </c>
      <c r="G38">
        <v>20</v>
      </c>
      <c r="I38" s="348"/>
      <c r="M38">
        <f t="shared" si="4"/>
        <v>13</v>
      </c>
      <c r="N38" s="41">
        <f>M38*E38</f>
        <v>27690</v>
      </c>
      <c r="O38" s="41">
        <f>N38</f>
        <v>27690</v>
      </c>
    </row>
    <row r="39" spans="1:19" x14ac:dyDescent="0.3">
      <c r="O39" s="4">
        <f>SUM(O27:O38)</f>
        <v>241476.40976365519</v>
      </c>
    </row>
    <row r="43" spans="1:19" s="2" customFormat="1" x14ac:dyDescent="0.3">
      <c r="A43" s="2" t="s">
        <v>58</v>
      </c>
    </row>
    <row r="47" spans="1:19" x14ac:dyDescent="0.3">
      <c r="D47" s="58" t="s">
        <v>508</v>
      </c>
      <c r="E47" s="58" t="s">
        <v>39</v>
      </c>
      <c r="F47" s="58" t="s">
        <v>7</v>
      </c>
      <c r="G47" s="58" t="s">
        <v>1095</v>
      </c>
      <c r="H47" s="58"/>
      <c r="I47" s="58" t="s">
        <v>1246</v>
      </c>
      <c r="J47" s="58" t="s">
        <v>1245</v>
      </c>
      <c r="K47" s="58" t="s">
        <v>1244</v>
      </c>
      <c r="L47" s="58" t="s">
        <v>1243</v>
      </c>
      <c r="M47" s="58" t="s">
        <v>1242</v>
      </c>
      <c r="N47" s="58" t="s">
        <v>1236</v>
      </c>
      <c r="O47" s="58" t="s">
        <v>1235</v>
      </c>
      <c r="P47" s="58" t="s">
        <v>1241</v>
      </c>
      <c r="Q47" s="58" t="s">
        <v>1240</v>
      </c>
    </row>
    <row r="48" spans="1:19" x14ac:dyDescent="0.3">
      <c r="D48" t="s">
        <v>867</v>
      </c>
      <c r="E48">
        <f>AVERAGE(E27:E33)</f>
        <v>3192.4285714285716</v>
      </c>
      <c r="F48">
        <f>AVERAGE(F27:F33)</f>
        <v>43.571428571428569</v>
      </c>
      <c r="G48">
        <f>AVERAGE(G27:G33)</f>
        <v>13.285714285714286</v>
      </c>
      <c r="I48" s="347">
        <f>(1-$C$17)^($C$19-F48)</f>
        <v>0.52063955834528886</v>
      </c>
      <c r="J48" s="346">
        <f>$S$35*(1+$C$15)^($C$19-9-F48)</f>
        <v>2.5253984157963463</v>
      </c>
      <c r="K48" s="346">
        <f>1/(1+$C$12)^($C$19-F48)</f>
        <v>0.35151478082074145</v>
      </c>
      <c r="L48" s="346">
        <f>G48/($C$19-F48+G48)</f>
        <v>0.38271604938271608</v>
      </c>
      <c r="M48">
        <f>$C$20</f>
        <v>13</v>
      </c>
      <c r="N48" s="41">
        <f>M48*K48*J48*I48*E48</f>
        <v>19181.174626210905</v>
      </c>
      <c r="O48" s="41">
        <f>N48*L48</f>
        <v>7340.9433754634329</v>
      </c>
      <c r="P48">
        <f>COUNT(E27:E33)</f>
        <v>7</v>
      </c>
      <c r="Q48" s="36">
        <f>O48*P48</f>
        <v>51386.603628244033</v>
      </c>
    </row>
    <row r="49" spans="1:23" x14ac:dyDescent="0.3">
      <c r="D49" t="s">
        <v>1094</v>
      </c>
      <c r="E49">
        <f>AVERAGE(E34:E38)</f>
        <v>3017.6</v>
      </c>
      <c r="F49">
        <f>AVERAGE(F34:F38)</f>
        <v>68</v>
      </c>
      <c r="G49">
        <f>AVERAGE(G34:G38)</f>
        <v>30</v>
      </c>
      <c r="M49">
        <f>$C$20</f>
        <v>13</v>
      </c>
      <c r="N49" s="41">
        <f>M49*E49</f>
        <v>39228.799999999996</v>
      </c>
      <c r="O49" s="41">
        <f>N49</f>
        <v>39228.799999999996</v>
      </c>
      <c r="P49">
        <f>COUNT(E34:E38)</f>
        <v>5</v>
      </c>
      <c r="Q49" s="36">
        <f>O49*P49</f>
        <v>196143.99999999997</v>
      </c>
    </row>
    <row r="50" spans="1:23" x14ac:dyDescent="0.3">
      <c r="Q50" s="36">
        <f>SUM(Q48:Q49)</f>
        <v>247530.60362824402</v>
      </c>
    </row>
    <row r="51" spans="1:23" x14ac:dyDescent="0.3">
      <c r="Q51" s="133">
        <f>Q50-O39</f>
        <v>6054.1938645888295</v>
      </c>
      <c r="R51" s="124">
        <f>Q50/O39-1</f>
        <v>2.5071574778316341E-2</v>
      </c>
    </row>
    <row r="52" spans="1:23" s="2" customFormat="1" x14ac:dyDescent="0.3">
      <c r="A52" s="2" t="s">
        <v>52</v>
      </c>
    </row>
    <row r="54" spans="1:23" x14ac:dyDescent="0.3">
      <c r="C54" s="144" t="s">
        <v>1239</v>
      </c>
    </row>
    <row r="55" spans="1:23" x14ac:dyDescent="0.3">
      <c r="C55" s="58" t="s">
        <v>1096</v>
      </c>
      <c r="D55" s="58" t="s">
        <v>508</v>
      </c>
      <c r="E55" s="58" t="s">
        <v>39</v>
      </c>
      <c r="F55" s="58" t="s">
        <v>7</v>
      </c>
      <c r="G55" s="58" t="s">
        <v>1095</v>
      </c>
      <c r="H55" s="58"/>
      <c r="I55" s="58" t="s">
        <v>1236</v>
      </c>
      <c r="J55" s="58" t="s">
        <v>1235</v>
      </c>
      <c r="K55" s="58" t="s">
        <v>1234</v>
      </c>
      <c r="L55" s="58" t="s">
        <v>1233</v>
      </c>
    </row>
    <row r="56" spans="1:23" x14ac:dyDescent="0.3">
      <c r="C56">
        <v>1341209</v>
      </c>
      <c r="D56" t="s">
        <v>867</v>
      </c>
      <c r="E56">
        <v>3055</v>
      </c>
      <c r="F56">
        <v>40</v>
      </c>
      <c r="G56">
        <v>5</v>
      </c>
      <c r="I56" s="41">
        <f t="shared" ref="I56:I67" si="9">N27</f>
        <v>15910.312326604504</v>
      </c>
      <c r="J56" s="41">
        <f t="shared" ref="J56:J67" si="10">O27</f>
        <v>2651.7187211007504</v>
      </c>
      <c r="K56" s="41">
        <f t="shared" ref="K56:K62" si="11">I56/($C$19-F56+G56)</f>
        <v>530.34374422015014</v>
      </c>
      <c r="L56" s="36">
        <f t="shared" ref="L56:L62" si="12">$C$12*(J56+K56-0)</f>
        <v>159.10312326604503</v>
      </c>
      <c r="T56" s="36"/>
      <c r="U56" s="36"/>
      <c r="V56" s="36"/>
      <c r="W56" s="36"/>
    </row>
    <row r="57" spans="1:23" x14ac:dyDescent="0.3">
      <c r="C57">
        <v>1358335</v>
      </c>
      <c r="D57" t="s">
        <v>867</v>
      </c>
      <c r="E57">
        <v>5385</v>
      </c>
      <c r="F57">
        <v>35</v>
      </c>
      <c r="G57">
        <v>5</v>
      </c>
      <c r="I57" s="41">
        <f t="shared" si="9"/>
        <v>22957.895284908074</v>
      </c>
      <c r="J57" s="41">
        <f t="shared" si="10"/>
        <v>3279.6993264154389</v>
      </c>
      <c r="K57" s="41">
        <f t="shared" si="11"/>
        <v>655.93986528308778</v>
      </c>
      <c r="L57" s="36">
        <f t="shared" si="12"/>
        <v>196.78195958492634</v>
      </c>
    </row>
    <row r="58" spans="1:23" x14ac:dyDescent="0.3">
      <c r="C58">
        <v>1358385</v>
      </c>
      <c r="D58" t="s">
        <v>867</v>
      </c>
      <c r="E58">
        <v>3076</v>
      </c>
      <c r="F58">
        <v>50</v>
      </c>
      <c r="G58">
        <v>20</v>
      </c>
      <c r="I58" s="41">
        <f t="shared" si="9"/>
        <v>23905.403398930725</v>
      </c>
      <c r="J58" s="41">
        <f t="shared" si="10"/>
        <v>13660.230513674698</v>
      </c>
      <c r="K58" s="41">
        <f t="shared" si="11"/>
        <v>683.01152568373493</v>
      </c>
      <c r="L58" s="36">
        <f t="shared" si="12"/>
        <v>717.16210196792167</v>
      </c>
    </row>
    <row r="59" spans="1:23" x14ac:dyDescent="0.3">
      <c r="C59">
        <v>1358468</v>
      </c>
      <c r="D59" t="s">
        <v>867</v>
      </c>
      <c r="E59">
        <v>2793</v>
      </c>
      <c r="F59">
        <v>38</v>
      </c>
      <c r="G59">
        <v>18</v>
      </c>
      <c r="I59" s="41">
        <f t="shared" si="9"/>
        <v>13426.721328735275</v>
      </c>
      <c r="J59" s="41">
        <f t="shared" si="10"/>
        <v>5370.6885314941101</v>
      </c>
      <c r="K59" s="41">
        <f t="shared" si="11"/>
        <v>298.3715850830061</v>
      </c>
      <c r="L59" s="36">
        <f t="shared" si="12"/>
        <v>283.45300582885579</v>
      </c>
    </row>
    <row r="60" spans="1:23" x14ac:dyDescent="0.3">
      <c r="C60">
        <v>1358474</v>
      </c>
      <c r="D60" t="s">
        <v>867</v>
      </c>
      <c r="E60">
        <v>3673</v>
      </c>
      <c r="F60">
        <v>42</v>
      </c>
      <c r="G60">
        <v>12</v>
      </c>
      <c r="I60" s="41">
        <f t="shared" si="9"/>
        <v>20723.202457520267</v>
      </c>
      <c r="J60" s="41">
        <f t="shared" si="10"/>
        <v>7105.0979854355201</v>
      </c>
      <c r="K60" s="41">
        <f t="shared" si="11"/>
        <v>592.0914987862933</v>
      </c>
      <c r="L60" s="36">
        <f t="shared" si="12"/>
        <v>384.85947421109069</v>
      </c>
    </row>
    <row r="61" spans="1:23" x14ac:dyDescent="0.3">
      <c r="C61">
        <v>1358535</v>
      </c>
      <c r="D61" t="s">
        <v>867</v>
      </c>
      <c r="E61">
        <v>3291</v>
      </c>
      <c r="F61">
        <v>45</v>
      </c>
      <c r="G61">
        <v>8</v>
      </c>
      <c r="I61" s="41">
        <f t="shared" si="9"/>
        <v>20937.098700015678</v>
      </c>
      <c r="J61" s="41">
        <f t="shared" si="10"/>
        <v>5982.028200004479</v>
      </c>
      <c r="K61" s="41">
        <f t="shared" si="11"/>
        <v>747.75352500055999</v>
      </c>
      <c r="L61" s="36">
        <f t="shared" si="12"/>
        <v>336.489086250252</v>
      </c>
    </row>
    <row r="62" spans="1:23" x14ac:dyDescent="0.3">
      <c r="C62" s="2">
        <v>1358622</v>
      </c>
      <c r="D62" s="2" t="s">
        <v>867</v>
      </c>
      <c r="E62" s="2">
        <v>1074</v>
      </c>
      <c r="F62" s="2">
        <v>55</v>
      </c>
      <c r="G62" s="2">
        <v>25</v>
      </c>
      <c r="I62" s="41">
        <f t="shared" si="9"/>
        <v>10196.125079742282</v>
      </c>
      <c r="J62" s="41">
        <f t="shared" si="10"/>
        <v>7282.9464855302012</v>
      </c>
      <c r="K62" s="41">
        <f t="shared" si="11"/>
        <v>291.31785942120803</v>
      </c>
      <c r="L62" s="36">
        <f t="shared" si="12"/>
        <v>378.71321724757047</v>
      </c>
    </row>
    <row r="63" spans="1:23" x14ac:dyDescent="0.3">
      <c r="C63">
        <v>1358650</v>
      </c>
      <c r="D63" t="s">
        <v>1094</v>
      </c>
      <c r="E63">
        <v>3364</v>
      </c>
      <c r="F63">
        <v>65</v>
      </c>
      <c r="G63">
        <v>30</v>
      </c>
      <c r="I63" s="41">
        <f t="shared" si="9"/>
        <v>43732</v>
      </c>
      <c r="J63" s="41">
        <f t="shared" si="10"/>
        <v>43732</v>
      </c>
      <c r="K63" s="41">
        <v>0</v>
      </c>
      <c r="L63" s="36">
        <f>$C$12*(J63+K63-E63/2)</f>
        <v>2102.5</v>
      </c>
    </row>
    <row r="64" spans="1:23" x14ac:dyDescent="0.3">
      <c r="C64">
        <v>1358687</v>
      </c>
      <c r="D64" t="s">
        <v>1094</v>
      </c>
      <c r="E64">
        <v>2666</v>
      </c>
      <c r="F64">
        <v>66</v>
      </c>
      <c r="G64">
        <v>40</v>
      </c>
      <c r="I64" s="41">
        <f t="shared" si="9"/>
        <v>34658</v>
      </c>
      <c r="J64" s="41">
        <f t="shared" si="10"/>
        <v>34658</v>
      </c>
      <c r="K64" s="41">
        <v>0</v>
      </c>
      <c r="L64" s="36">
        <f>$C$12*(J64+K64-E64/2)</f>
        <v>1666.25</v>
      </c>
      <c r="M64" s="345"/>
    </row>
    <row r="65" spans="3:13" x14ac:dyDescent="0.3">
      <c r="C65">
        <v>1358754</v>
      </c>
      <c r="D65" t="s">
        <v>1094</v>
      </c>
      <c r="E65">
        <v>2796</v>
      </c>
      <c r="F65">
        <v>69</v>
      </c>
      <c r="G65">
        <v>35</v>
      </c>
      <c r="I65" s="41">
        <f t="shared" si="9"/>
        <v>36348</v>
      </c>
      <c r="J65" s="41">
        <f t="shared" si="10"/>
        <v>36348</v>
      </c>
      <c r="K65" s="41">
        <v>0</v>
      </c>
      <c r="L65" s="36">
        <f>$C$12*(J65+K65-E65/2)</f>
        <v>1747.5</v>
      </c>
      <c r="M65" s="345"/>
    </row>
    <row r="66" spans="3:13" x14ac:dyDescent="0.3">
      <c r="C66">
        <v>1358812</v>
      </c>
      <c r="D66" t="s">
        <v>1094</v>
      </c>
      <c r="E66">
        <v>4132</v>
      </c>
      <c r="F66">
        <v>72</v>
      </c>
      <c r="G66">
        <v>25</v>
      </c>
      <c r="I66" s="41">
        <f t="shared" si="9"/>
        <v>53716</v>
      </c>
      <c r="J66" s="41">
        <f t="shared" si="10"/>
        <v>53716</v>
      </c>
      <c r="K66" s="41">
        <v>0</v>
      </c>
      <c r="L66" s="36">
        <f>$C$12*(J66+K66-E66/2)</f>
        <v>2582.5</v>
      </c>
    </row>
    <row r="67" spans="3:13" x14ac:dyDescent="0.3">
      <c r="C67">
        <v>1358842</v>
      </c>
      <c r="D67" t="s">
        <v>1094</v>
      </c>
      <c r="E67">
        <v>2130</v>
      </c>
      <c r="F67">
        <v>68</v>
      </c>
      <c r="G67">
        <v>20</v>
      </c>
      <c r="I67" s="41">
        <f t="shared" si="9"/>
        <v>27690</v>
      </c>
      <c r="J67" s="41">
        <f t="shared" si="10"/>
        <v>27690</v>
      </c>
      <c r="K67" s="41">
        <v>0</v>
      </c>
      <c r="L67" s="36">
        <f>$C$12*(J67+K67-E67/2)</f>
        <v>1331.25</v>
      </c>
    </row>
    <row r="68" spans="3:13" x14ac:dyDescent="0.3">
      <c r="J68" s="41">
        <f>SUM(J56:J67)</f>
        <v>241476.40976365519</v>
      </c>
      <c r="K68" s="41">
        <f>SUM(K56:K67)</f>
        <v>3798.8296034780406</v>
      </c>
      <c r="L68" s="36">
        <f>SUM(L56:L67)</f>
        <v>11886.561968356662</v>
      </c>
    </row>
    <row r="71" spans="3:13" x14ac:dyDescent="0.3">
      <c r="L71" s="41">
        <f>SUM(E63:E67)</f>
        <v>15088</v>
      </c>
      <c r="M71" t="s">
        <v>1238</v>
      </c>
    </row>
    <row r="72" spans="3:13" x14ac:dyDescent="0.3">
      <c r="L72" s="36">
        <f>C12*(J68+K68-L71/2)</f>
        <v>11886.561968356662</v>
      </c>
      <c r="M72" t="s">
        <v>1233</v>
      </c>
    </row>
    <row r="73" spans="3:13" x14ac:dyDescent="0.3">
      <c r="L73">
        <v>0</v>
      </c>
      <c r="M73" t="s">
        <v>1232</v>
      </c>
    </row>
    <row r="74" spans="3:13" x14ac:dyDescent="0.3">
      <c r="L74">
        <v>0</v>
      </c>
      <c r="M74" t="s">
        <v>1231</v>
      </c>
    </row>
    <row r="75" spans="3:13" x14ac:dyDescent="0.3">
      <c r="L75" s="36">
        <f>K68+L72-L73+L74</f>
        <v>15685.391571834702</v>
      </c>
      <c r="M75" t="s">
        <v>1230</v>
      </c>
    </row>
    <row r="76" spans="3:13" x14ac:dyDescent="0.3">
      <c r="C76" s="144" t="s">
        <v>1237</v>
      </c>
    </row>
    <row r="78" spans="3:13" x14ac:dyDescent="0.3">
      <c r="D78" s="58" t="s">
        <v>508</v>
      </c>
      <c r="E78" s="58" t="s">
        <v>39</v>
      </c>
      <c r="F78" s="58" t="s">
        <v>7</v>
      </c>
      <c r="G78" s="58" t="s">
        <v>1095</v>
      </c>
      <c r="H78" s="58"/>
      <c r="I78" s="58" t="s">
        <v>1236</v>
      </c>
      <c r="J78" s="58" t="s">
        <v>1235</v>
      </c>
      <c r="K78" s="58" t="s">
        <v>1234</v>
      </c>
      <c r="L78" s="58" t="s">
        <v>1233</v>
      </c>
    </row>
    <row r="79" spans="3:13" x14ac:dyDescent="0.3">
      <c r="D79" t="s">
        <v>867</v>
      </c>
      <c r="E79">
        <f t="shared" ref="E79:G80" si="13">E48</f>
        <v>3192.4285714285716</v>
      </c>
      <c r="F79">
        <f t="shared" si="13"/>
        <v>43.571428571428569</v>
      </c>
      <c r="G79">
        <f t="shared" si="13"/>
        <v>13.285714285714286</v>
      </c>
      <c r="I79" s="41">
        <f>N48*P48</f>
        <v>134268.22238347633</v>
      </c>
      <c r="J79" s="41">
        <f>O48*P48</f>
        <v>51386.603628244033</v>
      </c>
      <c r="K79" s="41">
        <f>I79/($C$19-F79+G79)</f>
        <v>3867.808875244174</v>
      </c>
      <c r="L79" s="36">
        <f>$C$12*(J79+K79-0)</f>
        <v>2762.7206251744105</v>
      </c>
    </row>
    <row r="80" spans="3:13" x14ac:dyDescent="0.3">
      <c r="D80" t="s">
        <v>1094</v>
      </c>
      <c r="E80">
        <f t="shared" si="13"/>
        <v>3017.6</v>
      </c>
      <c r="F80">
        <f t="shared" si="13"/>
        <v>68</v>
      </c>
      <c r="G80">
        <f t="shared" si="13"/>
        <v>30</v>
      </c>
      <c r="I80" s="41">
        <f>N49*P49</f>
        <v>196143.99999999997</v>
      </c>
      <c r="J80" s="41">
        <f>O49*P49</f>
        <v>196143.99999999997</v>
      </c>
      <c r="K80" s="41">
        <v>0</v>
      </c>
      <c r="L80" s="36">
        <f>$C$12*(J80+K80-E80*P49/2)</f>
        <v>9429.9999999999982</v>
      </c>
    </row>
    <row r="81" spans="11:13" x14ac:dyDescent="0.3">
      <c r="K81" s="41">
        <f>SUM(K79:K80)</f>
        <v>3867.808875244174</v>
      </c>
      <c r="L81" s="41">
        <f>SUM(L79:L80)</f>
        <v>12192.720625174408</v>
      </c>
    </row>
    <row r="84" spans="11:13" x14ac:dyDescent="0.3">
      <c r="L84" s="41">
        <f>L81</f>
        <v>12192.720625174408</v>
      </c>
      <c r="M84" t="s">
        <v>1233</v>
      </c>
    </row>
    <row r="85" spans="11:13" x14ac:dyDescent="0.3">
      <c r="L85">
        <v>0</v>
      </c>
      <c r="M85" t="s">
        <v>1232</v>
      </c>
    </row>
    <row r="86" spans="11:13" x14ac:dyDescent="0.3">
      <c r="L86">
        <v>0</v>
      </c>
      <c r="M86" t="s">
        <v>1231</v>
      </c>
    </row>
    <row r="87" spans="11:13" x14ac:dyDescent="0.3">
      <c r="L87" s="36">
        <f>K81+L81-L85+L86</f>
        <v>16060.529500418583</v>
      </c>
      <c r="M87" t="s">
        <v>1230</v>
      </c>
    </row>
    <row r="90" spans="11:13" x14ac:dyDescent="0.3">
      <c r="L90" t="s">
        <v>1229</v>
      </c>
    </row>
    <row r="91" spans="11:13" x14ac:dyDescent="0.3">
      <c r="L91" s="133">
        <f>L87-L75</f>
        <v>375.13792858388115</v>
      </c>
    </row>
    <row r="92" spans="11:13" x14ac:dyDescent="0.3">
      <c r="L92" s="124">
        <f>L87/L75-1</f>
        <v>2.3916389136085847E-2</v>
      </c>
    </row>
  </sheetData>
  <mergeCells count="3">
    <mergeCell ref="C10:F10"/>
    <mergeCell ref="C24:G24"/>
    <mergeCell ref="I24:M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20FD-4021-4E4D-BF47-7455596F6AF4}">
  <sheetPr>
    <tabColor theme="5" tint="0.39997558519241921"/>
  </sheetPr>
  <dimension ref="A1:M31"/>
  <sheetViews>
    <sheetView workbookViewId="0">
      <selection activeCell="U46" sqref="U46"/>
    </sheetView>
  </sheetViews>
  <sheetFormatPr defaultRowHeight="14.4" x14ac:dyDescent="0.3"/>
  <cols>
    <col min="9" max="12" width="14.21875" customWidth="1"/>
  </cols>
  <sheetData>
    <row r="1" spans="1:8" ht="15" thickBot="1" x14ac:dyDescent="0.35">
      <c r="A1" t="s">
        <v>76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t="s">
        <v>75</v>
      </c>
    </row>
    <row r="14" spans="1:8" x14ac:dyDescent="0.3">
      <c r="C14">
        <v>0.05</v>
      </c>
      <c r="D14" t="s">
        <v>74</v>
      </c>
    </row>
    <row r="15" spans="1:8" x14ac:dyDescent="0.3">
      <c r="C15" s="34">
        <v>1</v>
      </c>
      <c r="D15" t="s">
        <v>73</v>
      </c>
    </row>
    <row r="16" spans="1:8" x14ac:dyDescent="0.3">
      <c r="C16" s="34">
        <v>1</v>
      </c>
      <c r="D16" t="s">
        <v>72</v>
      </c>
    </row>
    <row r="21" spans="3:13" ht="15" thickBot="1" x14ac:dyDescent="0.35"/>
    <row r="22" spans="3:13" ht="15" thickBot="1" x14ac:dyDescent="0.35">
      <c r="C22" s="399" t="s">
        <v>10</v>
      </c>
      <c r="D22" s="400"/>
      <c r="E22" s="400"/>
      <c r="F22" s="400"/>
      <c r="G22" s="401"/>
      <c r="I22" s="399" t="s">
        <v>0</v>
      </c>
      <c r="J22" s="400"/>
      <c r="K22" s="400"/>
      <c r="L22" s="400"/>
      <c r="M22" s="401"/>
    </row>
    <row r="25" spans="3:13" x14ac:dyDescent="0.3">
      <c r="C25" s="35" t="s">
        <v>71</v>
      </c>
      <c r="D25" s="36">
        <v>250</v>
      </c>
      <c r="E25" s="18">
        <v>250</v>
      </c>
    </row>
    <row r="26" spans="3:13" x14ac:dyDescent="0.3">
      <c r="C26" s="35" t="s">
        <v>70</v>
      </c>
      <c r="D26" s="36">
        <v>75</v>
      </c>
      <c r="E26" s="18">
        <v>75</v>
      </c>
    </row>
    <row r="27" spans="3:13" x14ac:dyDescent="0.3">
      <c r="C27" s="35" t="s">
        <v>69</v>
      </c>
      <c r="D27" s="34">
        <v>0.8</v>
      </c>
      <c r="E27" t="s">
        <v>68</v>
      </c>
    </row>
    <row r="28" spans="3:13" x14ac:dyDescent="0.3">
      <c r="C28" s="35"/>
      <c r="D28" s="34">
        <v>0.2</v>
      </c>
      <c r="E28" t="s">
        <v>67</v>
      </c>
    </row>
    <row r="29" spans="3:13" x14ac:dyDescent="0.3">
      <c r="C29" s="35" t="s">
        <v>66</v>
      </c>
      <c r="D29" s="36">
        <v>100</v>
      </c>
      <c r="E29" t="s">
        <v>65</v>
      </c>
    </row>
    <row r="30" spans="3:13" x14ac:dyDescent="0.3">
      <c r="C30" s="35"/>
      <c r="D30" s="36">
        <v>200</v>
      </c>
      <c r="E30" t="s">
        <v>64</v>
      </c>
    </row>
    <row r="31" spans="3:13" x14ac:dyDescent="0.3">
      <c r="C31" s="35" t="s">
        <v>63</v>
      </c>
      <c r="D31" s="34">
        <v>0.2</v>
      </c>
      <c r="E31" s="1">
        <v>0.2</v>
      </c>
    </row>
  </sheetData>
  <mergeCells count="3">
    <mergeCell ref="C10:F10"/>
    <mergeCell ref="C22:G22"/>
    <mergeCell ref="I22:M22"/>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C5F25-B7DE-4281-954C-9251B59B676C}">
  <sheetPr>
    <tabColor theme="5" tint="0.39997558519241921"/>
  </sheetPr>
  <dimension ref="A1:M51"/>
  <sheetViews>
    <sheetView workbookViewId="0">
      <selection activeCell="A47" sqref="A47"/>
    </sheetView>
  </sheetViews>
  <sheetFormatPr defaultRowHeight="14.4" x14ac:dyDescent="0.3"/>
  <cols>
    <col min="12" max="12" width="12.21875" bestFit="1" customWidth="1"/>
  </cols>
  <sheetData>
    <row r="1" spans="1:8" ht="15" thickBot="1" x14ac:dyDescent="0.35">
      <c r="A1" t="s">
        <v>1124</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21" spans="3:13" ht="15" thickBot="1" x14ac:dyDescent="0.35"/>
    <row r="22" spans="3:13" ht="15" thickBot="1" x14ac:dyDescent="0.35">
      <c r="C22" s="399" t="s">
        <v>10</v>
      </c>
      <c r="D22" s="400"/>
      <c r="E22" s="400"/>
      <c r="F22" s="400"/>
      <c r="G22" s="401"/>
      <c r="I22" s="399" t="s">
        <v>0</v>
      </c>
      <c r="J22" s="400"/>
      <c r="K22" s="400"/>
      <c r="L22" s="400"/>
      <c r="M22" s="401"/>
    </row>
    <row r="24" spans="3:13" x14ac:dyDescent="0.3">
      <c r="C24" t="s">
        <v>1123</v>
      </c>
    </row>
    <row r="25" spans="3:13" x14ac:dyDescent="0.3">
      <c r="C25" t="s">
        <v>1122</v>
      </c>
      <c r="D25">
        <v>0.05</v>
      </c>
    </row>
    <row r="26" spans="3:13" x14ac:dyDescent="0.3">
      <c r="C26" t="s">
        <v>1121</v>
      </c>
      <c r="D26">
        <v>6.5000000000000002E-2</v>
      </c>
    </row>
    <row r="27" spans="3:13" x14ac:dyDescent="0.3">
      <c r="C27" t="s">
        <v>1120</v>
      </c>
      <c r="D27" t="s">
        <v>1119</v>
      </c>
    </row>
    <row r="29" spans="3:13" x14ac:dyDescent="0.3">
      <c r="C29" t="s">
        <v>1118</v>
      </c>
    </row>
    <row r="30" spans="3:13" x14ac:dyDescent="0.3">
      <c r="C30" t="s">
        <v>1117</v>
      </c>
      <c r="D30">
        <v>525</v>
      </c>
    </row>
    <row r="33" spans="3:6" x14ac:dyDescent="0.3">
      <c r="C33" t="s">
        <v>1116</v>
      </c>
    </row>
    <row r="34" spans="3:6" x14ac:dyDescent="0.3">
      <c r="C34" t="s">
        <v>1113</v>
      </c>
      <c r="D34" t="s">
        <v>1107</v>
      </c>
      <c r="E34" t="s">
        <v>1115</v>
      </c>
    </row>
    <row r="35" spans="3:6" x14ac:dyDescent="0.3">
      <c r="C35">
        <v>417</v>
      </c>
      <c r="D35">
        <v>30</v>
      </c>
      <c r="E35">
        <v>8</v>
      </c>
    </row>
    <row r="36" spans="3:6" x14ac:dyDescent="0.3">
      <c r="C36">
        <v>258</v>
      </c>
      <c r="D36">
        <v>40</v>
      </c>
      <c r="E36">
        <v>14</v>
      </c>
    </row>
    <row r="37" spans="3:6" x14ac:dyDescent="0.3">
      <c r="C37">
        <v>91</v>
      </c>
      <c r="D37">
        <v>50</v>
      </c>
      <c r="E37">
        <v>22</v>
      </c>
    </row>
    <row r="39" spans="3:6" x14ac:dyDescent="0.3">
      <c r="C39" t="s">
        <v>1114</v>
      </c>
    </row>
    <row r="40" spans="3:6" x14ac:dyDescent="0.3">
      <c r="C40" t="s">
        <v>1113</v>
      </c>
      <c r="D40" t="s">
        <v>1107</v>
      </c>
      <c r="E40" t="s">
        <v>1112</v>
      </c>
      <c r="F40" t="s">
        <v>1111</v>
      </c>
    </row>
    <row r="41" spans="3:6" x14ac:dyDescent="0.3">
      <c r="C41">
        <v>45</v>
      </c>
      <c r="D41">
        <v>70</v>
      </c>
      <c r="E41" t="s">
        <v>1110</v>
      </c>
      <c r="F41">
        <v>65</v>
      </c>
    </row>
    <row r="42" spans="3:6" x14ac:dyDescent="0.3">
      <c r="C42">
        <v>33</v>
      </c>
      <c r="D42">
        <v>70</v>
      </c>
      <c r="E42" t="s">
        <v>1109</v>
      </c>
      <c r="F42" t="s">
        <v>242</v>
      </c>
    </row>
    <row r="43" spans="3:6" x14ac:dyDescent="0.3">
      <c r="C43">
        <v>76</v>
      </c>
      <c r="D43">
        <v>80</v>
      </c>
      <c r="E43" t="s">
        <v>1109</v>
      </c>
      <c r="F43" t="s">
        <v>242</v>
      </c>
    </row>
    <row r="45" spans="3:6" x14ac:dyDescent="0.3">
      <c r="C45" t="s">
        <v>1108</v>
      </c>
    </row>
    <row r="46" spans="3:6" x14ac:dyDescent="0.3">
      <c r="C46" t="s">
        <v>1107</v>
      </c>
      <c r="D46" t="s">
        <v>1106</v>
      </c>
    </row>
    <row r="47" spans="3:6" x14ac:dyDescent="0.3">
      <c r="C47" t="s">
        <v>170</v>
      </c>
      <c r="D47">
        <v>11750</v>
      </c>
    </row>
    <row r="48" spans="3:6" x14ac:dyDescent="0.3">
      <c r="C48" t="s">
        <v>169</v>
      </c>
      <c r="D48">
        <v>2800</v>
      </c>
    </row>
    <row r="49" spans="3:4" x14ac:dyDescent="0.3">
      <c r="C49" t="s">
        <v>168</v>
      </c>
      <c r="D49">
        <v>3250</v>
      </c>
    </row>
    <row r="50" spans="3:4" x14ac:dyDescent="0.3">
      <c r="C50" t="s">
        <v>167</v>
      </c>
      <c r="D50">
        <v>3675</v>
      </c>
    </row>
    <row r="51" spans="3:4" x14ac:dyDescent="0.3">
      <c r="C51" t="s">
        <v>1105</v>
      </c>
      <c r="D51">
        <v>4250</v>
      </c>
    </row>
  </sheetData>
  <mergeCells count="3">
    <mergeCell ref="C10:F10"/>
    <mergeCell ref="C22:G22"/>
    <mergeCell ref="I22:M2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EC42-5774-4231-9C40-CB5296533CCB}">
  <sheetPr>
    <tabColor theme="9" tint="0.59999389629810485"/>
  </sheetPr>
  <dimension ref="A1:X51"/>
  <sheetViews>
    <sheetView workbookViewId="0">
      <selection activeCell="L52" sqref="L52"/>
    </sheetView>
  </sheetViews>
  <sheetFormatPr defaultRowHeight="14.4" x14ac:dyDescent="0.3"/>
  <cols>
    <col min="12" max="12" width="12.21875" bestFit="1" customWidth="1"/>
  </cols>
  <sheetData>
    <row r="1" spans="1:8" ht="15" thickBot="1" x14ac:dyDescent="0.35">
      <c r="A1" t="s">
        <v>1124</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21" spans="3:20" ht="15" thickBot="1" x14ac:dyDescent="0.35"/>
    <row r="22" spans="3:20" ht="15" thickBot="1" x14ac:dyDescent="0.35">
      <c r="C22" s="399" t="s">
        <v>10</v>
      </c>
      <c r="D22" s="400"/>
      <c r="E22" s="400"/>
      <c r="F22" s="400"/>
      <c r="G22" s="401"/>
      <c r="I22" s="399" t="s">
        <v>0</v>
      </c>
      <c r="J22" s="400"/>
      <c r="K22" s="400"/>
      <c r="L22" s="400"/>
      <c r="M22" s="401"/>
    </row>
    <row r="24" spans="3:20" x14ac:dyDescent="0.3">
      <c r="C24" t="s">
        <v>1123</v>
      </c>
      <c r="I24" s="2" t="s">
        <v>7</v>
      </c>
      <c r="J24" s="2" t="s">
        <v>1258</v>
      </c>
      <c r="K24" s="2" t="s">
        <v>1257</v>
      </c>
    </row>
    <row r="25" spans="3:20" x14ac:dyDescent="0.3">
      <c r="C25" t="s">
        <v>1122</v>
      </c>
      <c r="D25">
        <v>0.05</v>
      </c>
      <c r="I25">
        <f>D41</f>
        <v>70</v>
      </c>
      <c r="J25">
        <f>C41</f>
        <v>45</v>
      </c>
      <c r="K25" s="41">
        <f>D49</f>
        <v>3250</v>
      </c>
      <c r="L25" s="8" t="s">
        <v>1256</v>
      </c>
      <c r="M25" s="8"/>
      <c r="N25" s="8"/>
      <c r="O25" s="8"/>
      <c r="P25" s="8"/>
      <c r="Q25" s="8"/>
      <c r="R25" s="8"/>
      <c r="S25" s="8"/>
      <c r="T25" s="8"/>
    </row>
    <row r="26" spans="3:20" x14ac:dyDescent="0.3">
      <c r="C26" t="s">
        <v>1121</v>
      </c>
      <c r="D26">
        <v>6.5000000000000002E-2</v>
      </c>
      <c r="I26">
        <f>D42</f>
        <v>70</v>
      </c>
      <c r="J26">
        <f>C42</f>
        <v>33</v>
      </c>
      <c r="K26" s="41">
        <f>D49</f>
        <v>3250</v>
      </c>
    </row>
    <row r="27" spans="3:20" x14ac:dyDescent="0.3">
      <c r="C27" t="s">
        <v>1120</v>
      </c>
      <c r="D27" t="s">
        <v>1119</v>
      </c>
      <c r="I27">
        <f>D43</f>
        <v>80</v>
      </c>
      <c r="J27">
        <f>C43</f>
        <v>76</v>
      </c>
      <c r="K27" s="41">
        <f>D51</f>
        <v>4250</v>
      </c>
    </row>
    <row r="28" spans="3:20" x14ac:dyDescent="0.3">
      <c r="I28" s="2">
        <f>F41</f>
        <v>65</v>
      </c>
      <c r="J28" s="2">
        <f>C41</f>
        <v>45</v>
      </c>
      <c r="K28" s="241">
        <f>D48</f>
        <v>2800</v>
      </c>
      <c r="L28" s="8" t="s">
        <v>1255</v>
      </c>
      <c r="M28" s="8"/>
      <c r="N28" s="8"/>
      <c r="O28" s="8"/>
      <c r="P28" s="8"/>
    </row>
    <row r="29" spans="3:20" x14ac:dyDescent="0.3">
      <c r="C29" t="s">
        <v>1118</v>
      </c>
      <c r="J29">
        <f>SUM(J25:J28)</f>
        <v>199</v>
      </c>
      <c r="K29" s="41">
        <f>SUMPRODUCT(K25:K28,J25:J28)/SUM(J25:J28)</f>
        <v>3530.1507537688444</v>
      </c>
      <c r="L29" s="8" t="s">
        <v>1254</v>
      </c>
      <c r="M29" s="8"/>
      <c r="N29" s="8"/>
      <c r="O29" s="8"/>
      <c r="P29" s="8"/>
      <c r="Q29" s="8"/>
      <c r="R29" s="8"/>
      <c r="S29" s="8"/>
      <c r="T29" s="8"/>
    </row>
    <row r="30" spans="3:20" x14ac:dyDescent="0.3">
      <c r="C30" t="s">
        <v>1117</v>
      </c>
      <c r="D30">
        <v>525</v>
      </c>
    </row>
    <row r="33" spans="3:24" x14ac:dyDescent="0.3">
      <c r="C33" t="s">
        <v>1116</v>
      </c>
    </row>
    <row r="34" spans="3:24" x14ac:dyDescent="0.3">
      <c r="C34" t="s">
        <v>1113</v>
      </c>
      <c r="D34" t="s">
        <v>1107</v>
      </c>
      <c r="E34" t="s">
        <v>1115</v>
      </c>
      <c r="K34" s="2"/>
      <c r="L34" s="2" t="s">
        <v>1252</v>
      </c>
    </row>
    <row r="35" spans="3:24" x14ac:dyDescent="0.3">
      <c r="C35">
        <v>417</v>
      </c>
      <c r="D35">
        <v>30</v>
      </c>
      <c r="E35">
        <v>8</v>
      </c>
      <c r="K35" t="s">
        <v>393</v>
      </c>
      <c r="L35" s="36">
        <f>K29*(1+$D$26)</f>
        <v>3759.6105527638192</v>
      </c>
      <c r="M35" s="8" t="s">
        <v>1253</v>
      </c>
      <c r="N35" s="8"/>
      <c r="O35" s="8"/>
      <c r="P35" s="8"/>
      <c r="Q35" s="8"/>
      <c r="R35" s="8"/>
      <c r="S35" s="8"/>
      <c r="T35" s="8"/>
      <c r="U35" s="8"/>
      <c r="V35" s="8"/>
      <c r="W35" s="8"/>
      <c r="X35" s="8"/>
    </row>
    <row r="36" spans="3:24" x14ac:dyDescent="0.3">
      <c r="C36">
        <v>258</v>
      </c>
      <c r="D36">
        <v>40</v>
      </c>
      <c r="E36">
        <v>14</v>
      </c>
      <c r="K36" t="s">
        <v>389</v>
      </c>
      <c r="L36" s="36">
        <f>L35*(1+$D$26)</f>
        <v>4003.9852386934672</v>
      </c>
    </row>
    <row r="37" spans="3:24" x14ac:dyDescent="0.3">
      <c r="C37">
        <v>91</v>
      </c>
      <c r="D37">
        <v>50</v>
      </c>
      <c r="E37">
        <v>22</v>
      </c>
      <c r="K37" t="s">
        <v>451</v>
      </c>
      <c r="L37" s="36">
        <f>L36*(1+$D$26)</f>
        <v>4264.2442792085421</v>
      </c>
    </row>
    <row r="39" spans="3:24" x14ac:dyDescent="0.3">
      <c r="C39" t="s">
        <v>1114</v>
      </c>
    </row>
    <row r="40" spans="3:24" x14ac:dyDescent="0.3">
      <c r="C40" t="s">
        <v>1113</v>
      </c>
      <c r="D40" t="s">
        <v>1107</v>
      </c>
      <c r="E40" t="s">
        <v>1112</v>
      </c>
      <c r="F40" t="s">
        <v>1111</v>
      </c>
      <c r="K40" s="2"/>
      <c r="L40" s="2" t="s">
        <v>1252</v>
      </c>
      <c r="M40" s="2" t="s">
        <v>1251</v>
      </c>
      <c r="N40" s="2" t="s">
        <v>1250</v>
      </c>
      <c r="O40" s="2" t="s">
        <v>550</v>
      </c>
    </row>
    <row r="41" spans="3:24" x14ac:dyDescent="0.3">
      <c r="C41">
        <v>45</v>
      </c>
      <c r="D41">
        <v>70</v>
      </c>
      <c r="E41" t="s">
        <v>1110</v>
      </c>
      <c r="F41">
        <v>65</v>
      </c>
      <c r="K41" t="s">
        <v>393</v>
      </c>
      <c r="L41" s="36">
        <f>L35</f>
        <v>3759.6105527638192</v>
      </c>
      <c r="M41">
        <v>0.5</v>
      </c>
      <c r="N41">
        <f>1/(1+$D$25)^M41</f>
        <v>0.97590007294853309</v>
      </c>
      <c r="O41">
        <v>1</v>
      </c>
    </row>
    <row r="42" spans="3:24" x14ac:dyDescent="0.3">
      <c r="C42">
        <v>33</v>
      </c>
      <c r="D42">
        <v>70</v>
      </c>
      <c r="E42" t="s">
        <v>1109</v>
      </c>
      <c r="F42" t="s">
        <v>242</v>
      </c>
      <c r="K42" t="s">
        <v>389</v>
      </c>
      <c r="L42" s="36">
        <f>L36</f>
        <v>4003.9852386934672</v>
      </c>
      <c r="M42">
        <v>1.5</v>
      </c>
      <c r="N42">
        <f>1/(1+$D$25)^M42</f>
        <v>0.92942864090336497</v>
      </c>
      <c r="O42">
        <v>1</v>
      </c>
    </row>
    <row r="43" spans="3:24" x14ac:dyDescent="0.3">
      <c r="C43">
        <v>76</v>
      </c>
      <c r="D43">
        <v>80</v>
      </c>
      <c r="E43" t="s">
        <v>1109</v>
      </c>
      <c r="F43" t="s">
        <v>242</v>
      </c>
      <c r="K43" t="s">
        <v>451</v>
      </c>
      <c r="L43" s="36">
        <f>L37</f>
        <v>4264.2442792085421</v>
      </c>
      <c r="M43">
        <v>2.5</v>
      </c>
      <c r="N43">
        <f>1/(1+$D$25)^M43</f>
        <v>0.88517013419368074</v>
      </c>
      <c r="O43">
        <v>1</v>
      </c>
    </row>
    <row r="45" spans="3:24" x14ac:dyDescent="0.3">
      <c r="C45" t="s">
        <v>1108</v>
      </c>
    </row>
    <row r="46" spans="3:24" x14ac:dyDescent="0.3">
      <c r="C46" t="s">
        <v>1107</v>
      </c>
      <c r="D46" t="s">
        <v>1106</v>
      </c>
      <c r="K46" t="s">
        <v>1249</v>
      </c>
    </row>
    <row r="47" spans="3:24" x14ac:dyDescent="0.3">
      <c r="C47" t="s">
        <v>170</v>
      </c>
      <c r="D47">
        <v>11750</v>
      </c>
    </row>
    <row r="48" spans="3:24" x14ac:dyDescent="0.3">
      <c r="C48" t="s">
        <v>169</v>
      </c>
      <c r="D48">
        <v>2800</v>
      </c>
      <c r="L48" s="36">
        <f>SUMPRODUCT(L41:L43,N41:N43,O41:O43)</f>
        <v>11165.004452157951</v>
      </c>
      <c r="M48" t="s">
        <v>1248</v>
      </c>
    </row>
    <row r="49" spans="3:14" x14ac:dyDescent="0.3">
      <c r="C49" t="s">
        <v>168</v>
      </c>
      <c r="D49">
        <v>3250</v>
      </c>
    </row>
    <row r="50" spans="3:14" x14ac:dyDescent="0.3">
      <c r="C50" t="s">
        <v>167</v>
      </c>
      <c r="D50">
        <v>3675</v>
      </c>
      <c r="L50" s="4">
        <f>L48*J29</f>
        <v>2221835.8859794321</v>
      </c>
      <c r="M50" s="8" t="s">
        <v>1247</v>
      </c>
      <c r="N50" s="8"/>
    </row>
    <row r="51" spans="3:14" x14ac:dyDescent="0.3">
      <c r="C51" t="s">
        <v>1105</v>
      </c>
      <c r="D51">
        <v>4250</v>
      </c>
    </row>
  </sheetData>
  <mergeCells count="3">
    <mergeCell ref="C10:F10"/>
    <mergeCell ref="C22:G22"/>
    <mergeCell ref="I22:M22"/>
  </mergeCells>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F9B5-A754-4AD3-B6EE-14A35EAA3C97}">
  <sheetPr>
    <tabColor theme="5" tint="0.39997558519241921"/>
  </sheetPr>
  <dimension ref="A1:H31"/>
  <sheetViews>
    <sheetView workbookViewId="0">
      <selection activeCell="A47" sqref="A47"/>
    </sheetView>
  </sheetViews>
  <sheetFormatPr defaultRowHeight="14.4" x14ac:dyDescent="0.3"/>
  <cols>
    <col min="4" max="4" width="16.88671875" customWidth="1"/>
    <col min="9" max="11" width="10.109375" bestFit="1" customWidth="1"/>
  </cols>
  <sheetData>
    <row r="1" spans="1:8" ht="15" thickBot="1" x14ac:dyDescent="0.35">
      <c r="A1" t="s">
        <v>1147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35" t="s">
        <v>1146</v>
      </c>
      <c r="D12" s="40" t="s">
        <v>1145</v>
      </c>
    </row>
    <row r="13" spans="1:8" x14ac:dyDescent="0.3">
      <c r="C13">
        <v>250</v>
      </c>
      <c r="D13" t="s">
        <v>1144</v>
      </c>
    </row>
    <row r="14" spans="1:8" x14ac:dyDescent="0.3">
      <c r="C14">
        <v>20</v>
      </c>
      <c r="D14" t="s">
        <v>1143</v>
      </c>
    </row>
    <row r="15" spans="1:8" x14ac:dyDescent="0.3">
      <c r="C15">
        <v>40</v>
      </c>
      <c r="D15" t="s">
        <v>1142</v>
      </c>
    </row>
    <row r="16" spans="1:8" x14ac:dyDescent="0.3">
      <c r="C16">
        <v>75</v>
      </c>
      <c r="D16" s="40" t="s">
        <v>1141</v>
      </c>
      <c r="E16" t="s">
        <v>1140</v>
      </c>
    </row>
    <row r="17" spans="3:7" x14ac:dyDescent="0.3">
      <c r="D17" s="40"/>
    </row>
    <row r="18" spans="3:7" x14ac:dyDescent="0.3">
      <c r="C18" s="35" t="s">
        <v>445</v>
      </c>
    </row>
    <row r="19" spans="3:7" x14ac:dyDescent="0.3">
      <c r="C19">
        <v>0.04</v>
      </c>
      <c r="D19" s="35" t="s">
        <v>1139</v>
      </c>
      <c r="E19" t="s">
        <v>1138</v>
      </c>
    </row>
    <row r="20" spans="3:7" x14ac:dyDescent="0.3">
      <c r="D20" s="35" t="s">
        <v>1137</v>
      </c>
      <c r="E20" t="s">
        <v>1136</v>
      </c>
    </row>
    <row r="21" spans="3:7" x14ac:dyDescent="0.3">
      <c r="C21">
        <v>0.5</v>
      </c>
      <c r="D21" t="s">
        <v>1135</v>
      </c>
    </row>
    <row r="22" spans="3:7" x14ac:dyDescent="0.3">
      <c r="C22">
        <v>1</v>
      </c>
      <c r="D22" t="s">
        <v>1134</v>
      </c>
    </row>
    <row r="23" spans="3:7" x14ac:dyDescent="0.3">
      <c r="C23">
        <v>0</v>
      </c>
      <c r="D23" s="35" t="s">
        <v>550</v>
      </c>
      <c r="E23" t="s">
        <v>1132</v>
      </c>
    </row>
    <row r="24" spans="3:7" x14ac:dyDescent="0.3">
      <c r="C24">
        <v>0</v>
      </c>
      <c r="D24" s="35" t="s">
        <v>1133</v>
      </c>
      <c r="E24" t="s">
        <v>1132</v>
      </c>
    </row>
    <row r="25" spans="3:7" x14ac:dyDescent="0.3">
      <c r="C25">
        <v>4.4999999999999998E-2</v>
      </c>
      <c r="D25" s="35" t="s">
        <v>1131</v>
      </c>
      <c r="E25" t="s">
        <v>1130</v>
      </c>
    </row>
    <row r="26" spans="3:7" x14ac:dyDescent="0.3">
      <c r="D26" s="35" t="s">
        <v>1129</v>
      </c>
      <c r="E26" t="s">
        <v>1128</v>
      </c>
    </row>
    <row r="27" spans="3:7" x14ac:dyDescent="0.3">
      <c r="C27" t="s">
        <v>1127</v>
      </c>
      <c r="D27" s="35"/>
    </row>
    <row r="28" spans="3:7" x14ac:dyDescent="0.3">
      <c r="C28">
        <v>45</v>
      </c>
      <c r="D28" s="40" t="s">
        <v>1126</v>
      </c>
    </row>
    <row r="29" spans="3:7" x14ac:dyDescent="0.3">
      <c r="C29">
        <v>35</v>
      </c>
      <c r="D29" s="40" t="s">
        <v>1125</v>
      </c>
    </row>
    <row r="30" spans="3:7" ht="15" thickBot="1" x14ac:dyDescent="0.35"/>
    <row r="31" spans="3:7" ht="15" thickBot="1" x14ac:dyDescent="0.35">
      <c r="C31" s="399" t="s">
        <v>0</v>
      </c>
      <c r="D31" s="400"/>
      <c r="E31" s="400"/>
      <c r="F31" s="400"/>
      <c r="G31" s="401"/>
    </row>
  </sheetData>
  <mergeCells count="2">
    <mergeCell ref="C10:F10"/>
    <mergeCell ref="C31:G31"/>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10F9B-D9AF-46CA-A61D-D260A43DA2BF}">
  <sheetPr>
    <tabColor theme="9" tint="0.59999389629810485"/>
  </sheetPr>
  <dimension ref="A1:N88"/>
  <sheetViews>
    <sheetView workbookViewId="0">
      <selection activeCell="L52" sqref="L52"/>
    </sheetView>
  </sheetViews>
  <sheetFormatPr defaultRowHeight="14.4" x14ac:dyDescent="0.3"/>
  <cols>
    <col min="4" max="4" width="16.88671875" customWidth="1"/>
    <col min="9" max="11" width="10.109375" bestFit="1" customWidth="1"/>
  </cols>
  <sheetData>
    <row r="1" spans="1:8" ht="15" thickBot="1" x14ac:dyDescent="0.35">
      <c r="A1" t="s">
        <v>1147</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s="35" t="s">
        <v>1146</v>
      </c>
      <c r="D12" s="40" t="s">
        <v>1145</v>
      </c>
    </row>
    <row r="13" spans="1:8" x14ac:dyDescent="0.3">
      <c r="C13">
        <v>250</v>
      </c>
      <c r="D13" t="s">
        <v>1144</v>
      </c>
    </row>
    <row r="14" spans="1:8" x14ac:dyDescent="0.3">
      <c r="C14">
        <v>20</v>
      </c>
      <c r="D14" t="s">
        <v>1143</v>
      </c>
    </row>
    <row r="15" spans="1:8" x14ac:dyDescent="0.3">
      <c r="C15">
        <v>40</v>
      </c>
      <c r="D15" t="s">
        <v>1142</v>
      </c>
    </row>
    <row r="16" spans="1:8" x14ac:dyDescent="0.3">
      <c r="C16">
        <v>75</v>
      </c>
      <c r="D16" s="40" t="s">
        <v>1141</v>
      </c>
      <c r="E16" t="s">
        <v>1140</v>
      </c>
    </row>
    <row r="17" spans="3:11" x14ac:dyDescent="0.3">
      <c r="D17" s="40"/>
    </row>
    <row r="18" spans="3:11" x14ac:dyDescent="0.3">
      <c r="C18" s="35" t="s">
        <v>445</v>
      </c>
    </row>
    <row r="19" spans="3:11" x14ac:dyDescent="0.3">
      <c r="C19">
        <v>0.04</v>
      </c>
      <c r="D19" s="35" t="s">
        <v>1139</v>
      </c>
      <c r="E19" t="s">
        <v>1138</v>
      </c>
    </row>
    <row r="20" spans="3:11" x14ac:dyDescent="0.3">
      <c r="D20" s="35" t="s">
        <v>1137</v>
      </c>
      <c r="E20" t="s">
        <v>1136</v>
      </c>
    </row>
    <row r="21" spans="3:11" x14ac:dyDescent="0.3">
      <c r="C21">
        <v>0.5</v>
      </c>
      <c r="D21" t="s">
        <v>1135</v>
      </c>
    </row>
    <row r="22" spans="3:11" x14ac:dyDescent="0.3">
      <c r="C22">
        <v>1</v>
      </c>
      <c r="D22" t="s">
        <v>1134</v>
      </c>
    </row>
    <row r="23" spans="3:11" x14ac:dyDescent="0.3">
      <c r="C23">
        <v>0</v>
      </c>
      <c r="D23" s="35" t="s">
        <v>550</v>
      </c>
      <c r="E23" t="s">
        <v>1132</v>
      </c>
    </row>
    <row r="24" spans="3:11" x14ac:dyDescent="0.3">
      <c r="C24">
        <v>0</v>
      </c>
      <c r="D24" s="35" t="s">
        <v>1133</v>
      </c>
      <c r="E24" t="s">
        <v>1132</v>
      </c>
    </row>
    <row r="25" spans="3:11" x14ac:dyDescent="0.3">
      <c r="C25">
        <v>4.4999999999999998E-2</v>
      </c>
      <c r="D25" s="35" t="s">
        <v>1131</v>
      </c>
      <c r="E25" t="s">
        <v>1130</v>
      </c>
    </row>
    <row r="26" spans="3:11" x14ac:dyDescent="0.3">
      <c r="D26" s="35" t="s">
        <v>1129</v>
      </c>
      <c r="E26" t="s">
        <v>1128</v>
      </c>
    </row>
    <row r="27" spans="3:11" x14ac:dyDescent="0.3">
      <c r="C27" t="s">
        <v>1127</v>
      </c>
      <c r="D27" s="35"/>
    </row>
    <row r="28" spans="3:11" x14ac:dyDescent="0.3">
      <c r="C28">
        <v>45</v>
      </c>
      <c r="D28" s="40" t="s">
        <v>1126</v>
      </c>
    </row>
    <row r="29" spans="3:11" x14ac:dyDescent="0.3">
      <c r="C29">
        <v>35</v>
      </c>
      <c r="D29" s="40" t="s">
        <v>1125</v>
      </c>
    </row>
    <row r="30" spans="3:11" ht="15" thickBot="1" x14ac:dyDescent="0.35"/>
    <row r="31" spans="3:11" ht="15" thickBot="1" x14ac:dyDescent="0.35">
      <c r="C31" s="399" t="s">
        <v>0</v>
      </c>
      <c r="D31" s="400"/>
      <c r="E31" s="400"/>
      <c r="F31" s="400"/>
      <c r="G31" s="401"/>
    </row>
    <row r="32" spans="3:11" x14ac:dyDescent="0.3">
      <c r="I32">
        <v>62</v>
      </c>
      <c r="K32">
        <v>65</v>
      </c>
    </row>
    <row r="33" spans="1:11" x14ac:dyDescent="0.3">
      <c r="F33" t="s">
        <v>1273</v>
      </c>
      <c r="I33" t="s">
        <v>1272</v>
      </c>
      <c r="K33" t="s">
        <v>1271</v>
      </c>
    </row>
    <row r="34" spans="1:11" x14ac:dyDescent="0.3">
      <c r="C34" s="192" t="s">
        <v>1270</v>
      </c>
      <c r="D34" s="192" t="s">
        <v>1269</v>
      </c>
      <c r="E34" s="192" t="s">
        <v>444</v>
      </c>
      <c r="F34" s="192" t="s">
        <v>1268</v>
      </c>
      <c r="G34" s="192" t="s">
        <v>1267</v>
      </c>
      <c r="H34" s="192"/>
      <c r="I34" s="192" t="s">
        <v>444</v>
      </c>
      <c r="J34" s="192"/>
      <c r="K34" s="192" t="s">
        <v>444</v>
      </c>
    </row>
    <row r="35" spans="1:11" x14ac:dyDescent="0.3">
      <c r="C35">
        <f>C28</f>
        <v>45</v>
      </c>
      <c r="D35">
        <f>C14-(C28-C15)</f>
        <v>15</v>
      </c>
      <c r="E35" s="281">
        <f>(C28-C15)*C13</f>
        <v>1250</v>
      </c>
      <c r="F35">
        <f>MAX((1-$C$19)^(C35-$C$35),(1-$C$19)^($D$35-1))</f>
        <v>1</v>
      </c>
      <c r="G35">
        <f t="shared" ref="G35:G75" si="0">(1/(1+$C$25))^(C35-$C$35)</f>
        <v>1</v>
      </c>
      <c r="I35" s="281">
        <f t="shared" ref="I35:I75" si="1">IF(AND(C35&gt;=$I$32,C35&lt;=$C$16),E35,0)</f>
        <v>0</v>
      </c>
      <c r="K35" s="281">
        <f t="shared" ref="K35:K75" si="2">IF(AND(C35&gt;=$K$32,C35&lt;=$C$16),E35,0)</f>
        <v>0</v>
      </c>
    </row>
    <row r="36" spans="1:11" x14ac:dyDescent="0.3">
      <c r="A36" s="62"/>
      <c r="C36" s="35">
        <f t="shared" ref="C36:C75" si="3">1+C35</f>
        <v>46</v>
      </c>
      <c r="D36">
        <f t="shared" ref="D36:D75" si="4">MAX(D35-1,0)</f>
        <v>14</v>
      </c>
      <c r="E36" s="281">
        <f t="shared" ref="E36:E75" si="5">MIN(E35+$C$13,$C$13*$C$14)</f>
        <v>1500</v>
      </c>
      <c r="F36">
        <f t="shared" ref="F36:F75" si="6">MAX((1-$C$19)^(C36-$C$35),(1-$C$19)^($D$35))</f>
        <v>0.96</v>
      </c>
      <c r="G36">
        <f t="shared" si="0"/>
        <v>0.95693779904306231</v>
      </c>
      <c r="I36" s="281">
        <f t="shared" si="1"/>
        <v>0</v>
      </c>
      <c r="K36" s="281">
        <f t="shared" si="2"/>
        <v>0</v>
      </c>
    </row>
    <row r="37" spans="1:11" x14ac:dyDescent="0.3">
      <c r="A37" s="62"/>
      <c r="C37" s="35">
        <f t="shared" si="3"/>
        <v>47</v>
      </c>
      <c r="D37">
        <f t="shared" si="4"/>
        <v>13</v>
      </c>
      <c r="E37" s="281">
        <f t="shared" si="5"/>
        <v>1750</v>
      </c>
      <c r="F37">
        <f t="shared" si="6"/>
        <v>0.92159999999999997</v>
      </c>
      <c r="G37">
        <f t="shared" si="0"/>
        <v>0.91572995123738032</v>
      </c>
      <c r="I37" s="281">
        <f t="shared" si="1"/>
        <v>0</v>
      </c>
      <c r="K37" s="281">
        <f t="shared" si="2"/>
        <v>0</v>
      </c>
    </row>
    <row r="38" spans="1:11" x14ac:dyDescent="0.3">
      <c r="A38" s="62"/>
      <c r="C38" s="35">
        <f t="shared" si="3"/>
        <v>48</v>
      </c>
      <c r="D38">
        <f t="shared" si="4"/>
        <v>12</v>
      </c>
      <c r="E38" s="281">
        <f t="shared" si="5"/>
        <v>2000</v>
      </c>
      <c r="F38">
        <f t="shared" si="6"/>
        <v>0.88473599999999997</v>
      </c>
      <c r="G38">
        <f t="shared" si="0"/>
        <v>0.8762966040549095</v>
      </c>
      <c r="I38" s="281">
        <f t="shared" si="1"/>
        <v>0</v>
      </c>
      <c r="K38" s="281">
        <f t="shared" si="2"/>
        <v>0</v>
      </c>
    </row>
    <row r="39" spans="1:11" x14ac:dyDescent="0.3">
      <c r="A39" s="62"/>
      <c r="C39" s="35">
        <f t="shared" si="3"/>
        <v>49</v>
      </c>
      <c r="D39">
        <f t="shared" si="4"/>
        <v>11</v>
      </c>
      <c r="E39" s="281">
        <f t="shared" si="5"/>
        <v>2250</v>
      </c>
      <c r="F39">
        <f t="shared" si="6"/>
        <v>0.84934655999999997</v>
      </c>
      <c r="G39">
        <f t="shared" si="0"/>
        <v>0.83856134359321499</v>
      </c>
      <c r="I39" s="281">
        <f t="shared" si="1"/>
        <v>0</v>
      </c>
      <c r="K39" s="281">
        <f t="shared" si="2"/>
        <v>0</v>
      </c>
    </row>
    <row r="40" spans="1:11" x14ac:dyDescent="0.3">
      <c r="A40" s="62"/>
      <c r="C40" s="35">
        <f t="shared" si="3"/>
        <v>50</v>
      </c>
      <c r="D40">
        <f t="shared" si="4"/>
        <v>10</v>
      </c>
      <c r="E40" s="281">
        <f t="shared" si="5"/>
        <v>2500</v>
      </c>
      <c r="F40">
        <f t="shared" si="6"/>
        <v>0.81537269759999997</v>
      </c>
      <c r="G40">
        <f t="shared" si="0"/>
        <v>0.80245104650068433</v>
      </c>
      <c r="I40" s="281">
        <f t="shared" si="1"/>
        <v>0</v>
      </c>
      <c r="K40" s="281">
        <f t="shared" si="2"/>
        <v>0</v>
      </c>
    </row>
    <row r="41" spans="1:11" x14ac:dyDescent="0.3">
      <c r="A41" s="62"/>
      <c r="C41" s="35">
        <f t="shared" si="3"/>
        <v>51</v>
      </c>
      <c r="D41">
        <f t="shared" si="4"/>
        <v>9</v>
      </c>
      <c r="E41" s="281">
        <f t="shared" si="5"/>
        <v>2750</v>
      </c>
      <c r="F41">
        <f t="shared" si="6"/>
        <v>0.78275778969599996</v>
      </c>
      <c r="G41">
        <f t="shared" si="0"/>
        <v>0.76789573827816693</v>
      </c>
      <c r="I41" s="281">
        <f t="shared" si="1"/>
        <v>0</v>
      </c>
      <c r="K41" s="281">
        <f t="shared" si="2"/>
        <v>0</v>
      </c>
    </row>
    <row r="42" spans="1:11" x14ac:dyDescent="0.3">
      <c r="A42" s="62"/>
      <c r="C42" s="35">
        <f t="shared" si="3"/>
        <v>52</v>
      </c>
      <c r="D42">
        <f t="shared" si="4"/>
        <v>8</v>
      </c>
      <c r="E42" s="281">
        <f t="shared" si="5"/>
        <v>3000</v>
      </c>
      <c r="F42">
        <f t="shared" si="6"/>
        <v>0.75144747810815993</v>
      </c>
      <c r="G42">
        <f t="shared" si="0"/>
        <v>0.73482845768245642</v>
      </c>
      <c r="I42" s="281">
        <f t="shared" si="1"/>
        <v>0</v>
      </c>
      <c r="K42" s="281">
        <f t="shared" si="2"/>
        <v>0</v>
      </c>
    </row>
    <row r="43" spans="1:11" x14ac:dyDescent="0.3">
      <c r="A43" s="62"/>
      <c r="C43" s="35">
        <f t="shared" si="3"/>
        <v>53</v>
      </c>
      <c r="D43">
        <f t="shared" si="4"/>
        <v>7</v>
      </c>
      <c r="E43" s="281">
        <f t="shared" si="5"/>
        <v>3250</v>
      </c>
      <c r="F43">
        <f t="shared" si="6"/>
        <v>0.7213895789838336</v>
      </c>
      <c r="G43">
        <f t="shared" si="0"/>
        <v>0.70318512696885793</v>
      </c>
      <c r="I43" s="281">
        <f t="shared" si="1"/>
        <v>0</v>
      </c>
      <c r="K43" s="281">
        <f t="shared" si="2"/>
        <v>0</v>
      </c>
    </row>
    <row r="44" spans="1:11" x14ac:dyDescent="0.3">
      <c r="A44" s="62"/>
      <c r="C44" s="35">
        <f t="shared" si="3"/>
        <v>54</v>
      </c>
      <c r="D44">
        <f t="shared" si="4"/>
        <v>6</v>
      </c>
      <c r="E44" s="281">
        <f t="shared" si="5"/>
        <v>3500</v>
      </c>
      <c r="F44">
        <f t="shared" si="6"/>
        <v>0.69253399582448028</v>
      </c>
      <c r="G44">
        <f t="shared" si="0"/>
        <v>0.67290442772139525</v>
      </c>
      <c r="I44" s="281">
        <f t="shared" si="1"/>
        <v>0</v>
      </c>
      <c r="K44" s="281">
        <f t="shared" si="2"/>
        <v>0</v>
      </c>
    </row>
    <row r="45" spans="1:11" x14ac:dyDescent="0.3">
      <c r="A45" s="62"/>
      <c r="C45" s="35">
        <f t="shared" si="3"/>
        <v>55</v>
      </c>
      <c r="D45">
        <f t="shared" si="4"/>
        <v>5</v>
      </c>
      <c r="E45" s="281">
        <f t="shared" si="5"/>
        <v>3750</v>
      </c>
      <c r="F45">
        <f t="shared" si="6"/>
        <v>0.664832635991501</v>
      </c>
      <c r="G45">
        <f t="shared" si="0"/>
        <v>0.64392768203004336</v>
      </c>
      <c r="I45" s="281">
        <f t="shared" si="1"/>
        <v>0</v>
      </c>
      <c r="K45" s="281">
        <f t="shared" si="2"/>
        <v>0</v>
      </c>
    </row>
    <row r="46" spans="1:11" x14ac:dyDescent="0.3">
      <c r="A46" s="62"/>
      <c r="C46" s="35">
        <f t="shared" si="3"/>
        <v>56</v>
      </c>
      <c r="D46">
        <f t="shared" si="4"/>
        <v>4</v>
      </c>
      <c r="E46" s="281">
        <f t="shared" si="5"/>
        <v>4000</v>
      </c>
      <c r="F46">
        <f t="shared" si="6"/>
        <v>0.63823933055184101</v>
      </c>
      <c r="G46">
        <f t="shared" si="0"/>
        <v>0.61619873878473053</v>
      </c>
      <c r="I46" s="281">
        <f t="shared" si="1"/>
        <v>0</v>
      </c>
      <c r="K46" s="281">
        <f t="shared" si="2"/>
        <v>0</v>
      </c>
    </row>
    <row r="47" spans="1:11" x14ac:dyDescent="0.3">
      <c r="A47" s="62"/>
      <c r="C47" s="35">
        <f t="shared" si="3"/>
        <v>57</v>
      </c>
      <c r="D47">
        <f t="shared" si="4"/>
        <v>3</v>
      </c>
      <c r="E47" s="281">
        <f t="shared" si="5"/>
        <v>4250</v>
      </c>
      <c r="F47">
        <f t="shared" si="6"/>
        <v>0.61270975732976729</v>
      </c>
      <c r="G47">
        <f t="shared" si="0"/>
        <v>0.58966386486577094</v>
      </c>
      <c r="I47" s="281">
        <f t="shared" si="1"/>
        <v>0</v>
      </c>
      <c r="K47" s="281">
        <f t="shared" si="2"/>
        <v>0</v>
      </c>
    </row>
    <row r="48" spans="1:11" x14ac:dyDescent="0.3">
      <c r="A48" s="62"/>
      <c r="C48" s="35">
        <f t="shared" si="3"/>
        <v>58</v>
      </c>
      <c r="D48">
        <f t="shared" si="4"/>
        <v>2</v>
      </c>
      <c r="E48" s="281">
        <f t="shared" si="5"/>
        <v>4500</v>
      </c>
      <c r="F48">
        <f t="shared" si="6"/>
        <v>0.58820136703657666</v>
      </c>
      <c r="G48">
        <f t="shared" si="0"/>
        <v>0.56427164101987659</v>
      </c>
      <c r="I48" s="281">
        <f t="shared" si="1"/>
        <v>0</v>
      </c>
      <c r="K48" s="281">
        <f t="shared" si="2"/>
        <v>0</v>
      </c>
    </row>
    <row r="49" spans="1:14" x14ac:dyDescent="0.3">
      <c r="A49" s="62"/>
      <c r="C49" s="35">
        <f t="shared" si="3"/>
        <v>59</v>
      </c>
      <c r="D49">
        <f t="shared" si="4"/>
        <v>1</v>
      </c>
      <c r="E49" s="281">
        <f t="shared" si="5"/>
        <v>4750</v>
      </c>
      <c r="F49">
        <f t="shared" si="6"/>
        <v>0.56467331235511353</v>
      </c>
      <c r="G49">
        <f t="shared" si="0"/>
        <v>0.53997286221997776</v>
      </c>
      <c r="I49" s="281">
        <f t="shared" si="1"/>
        <v>0</v>
      </c>
      <c r="K49" s="281">
        <f t="shared" si="2"/>
        <v>0</v>
      </c>
    </row>
    <row r="50" spans="1:14" x14ac:dyDescent="0.3">
      <c r="A50" s="62"/>
      <c r="C50" s="35">
        <f t="shared" si="3"/>
        <v>60</v>
      </c>
      <c r="D50">
        <f t="shared" si="4"/>
        <v>0</v>
      </c>
      <c r="E50" s="281">
        <f t="shared" si="5"/>
        <v>5000</v>
      </c>
      <c r="F50">
        <f t="shared" si="6"/>
        <v>0.54208637986090902</v>
      </c>
      <c r="G50">
        <f t="shared" si="0"/>
        <v>0.51672044231576819</v>
      </c>
      <c r="I50" s="281">
        <f t="shared" si="1"/>
        <v>0</v>
      </c>
      <c r="K50" s="281">
        <f t="shared" si="2"/>
        <v>0</v>
      </c>
      <c r="L50" s="8" t="s">
        <v>1266</v>
      </c>
      <c r="M50" s="8"/>
    </row>
    <row r="51" spans="1:14" x14ac:dyDescent="0.3">
      <c r="A51" s="62"/>
      <c r="C51" s="35">
        <f t="shared" si="3"/>
        <v>61</v>
      </c>
      <c r="D51">
        <f t="shared" si="4"/>
        <v>0</v>
      </c>
      <c r="E51" s="281">
        <f t="shared" si="5"/>
        <v>5000</v>
      </c>
      <c r="F51">
        <f t="shared" si="6"/>
        <v>0.54208637986090902</v>
      </c>
      <c r="G51">
        <f t="shared" si="0"/>
        <v>0.49446932279020883</v>
      </c>
      <c r="I51" s="281">
        <f t="shared" si="1"/>
        <v>0</v>
      </c>
      <c r="K51" s="281">
        <f t="shared" si="2"/>
        <v>0</v>
      </c>
    </row>
    <row r="52" spans="1:14" x14ac:dyDescent="0.3">
      <c r="A52" s="62"/>
      <c r="C52" s="35">
        <f t="shared" si="3"/>
        <v>62</v>
      </c>
      <c r="D52">
        <f t="shared" si="4"/>
        <v>0</v>
      </c>
      <c r="E52" s="281">
        <f t="shared" si="5"/>
        <v>5000</v>
      </c>
      <c r="F52">
        <f t="shared" si="6"/>
        <v>0.54208637986090902</v>
      </c>
      <c r="G52">
        <f t="shared" si="0"/>
        <v>0.47317638544517598</v>
      </c>
      <c r="I52" s="281">
        <f t="shared" si="1"/>
        <v>5000</v>
      </c>
      <c r="K52" s="281">
        <f t="shared" si="2"/>
        <v>0</v>
      </c>
      <c r="L52" s="8" t="s">
        <v>1265</v>
      </c>
      <c r="M52" s="8"/>
    </row>
    <row r="53" spans="1:14" x14ac:dyDescent="0.3">
      <c r="A53" s="62"/>
      <c r="C53" s="35">
        <f t="shared" si="3"/>
        <v>63</v>
      </c>
      <c r="D53">
        <f t="shared" si="4"/>
        <v>0</v>
      </c>
      <c r="E53" s="281">
        <f t="shared" si="5"/>
        <v>5000</v>
      </c>
      <c r="F53">
        <f t="shared" si="6"/>
        <v>0.54208637986090902</v>
      </c>
      <c r="G53">
        <f t="shared" si="0"/>
        <v>0.45280036884705843</v>
      </c>
      <c r="I53" s="281">
        <f t="shared" si="1"/>
        <v>5000</v>
      </c>
      <c r="K53" s="281">
        <f t="shared" si="2"/>
        <v>0</v>
      </c>
    </row>
    <row r="54" spans="1:14" x14ac:dyDescent="0.3">
      <c r="A54" s="62"/>
      <c r="C54" s="35">
        <f t="shared" si="3"/>
        <v>64</v>
      </c>
      <c r="D54">
        <f t="shared" si="4"/>
        <v>0</v>
      </c>
      <c r="E54" s="281">
        <f t="shared" si="5"/>
        <v>5000</v>
      </c>
      <c r="F54">
        <f t="shared" si="6"/>
        <v>0.54208637986090902</v>
      </c>
      <c r="G54">
        <f t="shared" si="0"/>
        <v>0.43330178837039085</v>
      </c>
      <c r="I54" s="281">
        <f t="shared" si="1"/>
        <v>5000</v>
      </c>
      <c r="K54" s="281">
        <f t="shared" si="2"/>
        <v>0</v>
      </c>
    </row>
    <row r="55" spans="1:14" x14ac:dyDescent="0.3">
      <c r="A55" s="62"/>
      <c r="C55" s="35">
        <f t="shared" si="3"/>
        <v>65</v>
      </c>
      <c r="D55">
        <f t="shared" si="4"/>
        <v>0</v>
      </c>
      <c r="E55" s="281">
        <f t="shared" si="5"/>
        <v>5000</v>
      </c>
      <c r="F55">
        <f t="shared" si="6"/>
        <v>0.54208637986090902</v>
      </c>
      <c r="G55">
        <f t="shared" si="0"/>
        <v>0.41464285968458464</v>
      </c>
      <c r="I55" s="281">
        <f t="shared" si="1"/>
        <v>5000</v>
      </c>
      <c r="K55" s="281">
        <f t="shared" si="2"/>
        <v>5000</v>
      </c>
      <c r="L55" s="8" t="s">
        <v>1264</v>
      </c>
      <c r="M55" s="8"/>
      <c r="N55" s="8"/>
    </row>
    <row r="56" spans="1:14" x14ac:dyDescent="0.3">
      <c r="A56" s="62"/>
      <c r="C56" s="35">
        <f t="shared" si="3"/>
        <v>66</v>
      </c>
      <c r="D56">
        <f t="shared" si="4"/>
        <v>0</v>
      </c>
      <c r="E56" s="281">
        <f t="shared" si="5"/>
        <v>5000</v>
      </c>
      <c r="F56">
        <f t="shared" si="6"/>
        <v>0.54208637986090902</v>
      </c>
      <c r="G56">
        <f t="shared" si="0"/>
        <v>0.39678742553548774</v>
      </c>
      <c r="I56" s="281">
        <f t="shared" si="1"/>
        <v>5000</v>
      </c>
      <c r="K56" s="281">
        <f t="shared" si="2"/>
        <v>5000</v>
      </c>
    </row>
    <row r="57" spans="1:14" x14ac:dyDescent="0.3">
      <c r="A57" s="62"/>
      <c r="C57" s="35">
        <f t="shared" si="3"/>
        <v>67</v>
      </c>
      <c r="D57">
        <f t="shared" si="4"/>
        <v>0</v>
      </c>
      <c r="E57" s="281">
        <f t="shared" si="5"/>
        <v>5000</v>
      </c>
      <c r="F57">
        <f t="shared" si="6"/>
        <v>0.54208637986090902</v>
      </c>
      <c r="G57">
        <f t="shared" si="0"/>
        <v>0.37970088567989263</v>
      </c>
      <c r="I57" s="281">
        <f t="shared" si="1"/>
        <v>5000</v>
      </c>
      <c r="K57" s="281">
        <f t="shared" si="2"/>
        <v>5000</v>
      </c>
    </row>
    <row r="58" spans="1:14" x14ac:dyDescent="0.3">
      <c r="A58" s="62"/>
      <c r="C58" s="35">
        <f t="shared" si="3"/>
        <v>68</v>
      </c>
      <c r="D58">
        <f t="shared" si="4"/>
        <v>0</v>
      </c>
      <c r="E58" s="281">
        <f t="shared" si="5"/>
        <v>5000</v>
      </c>
      <c r="F58">
        <f t="shared" si="6"/>
        <v>0.54208637986090902</v>
      </c>
      <c r="G58">
        <f t="shared" si="0"/>
        <v>0.36335012983721787</v>
      </c>
      <c r="I58" s="281">
        <f t="shared" si="1"/>
        <v>5000</v>
      </c>
      <c r="K58" s="281">
        <f t="shared" si="2"/>
        <v>5000</v>
      </c>
    </row>
    <row r="59" spans="1:14" x14ac:dyDescent="0.3">
      <c r="A59" s="62"/>
      <c r="C59" s="35">
        <f t="shared" si="3"/>
        <v>69</v>
      </c>
      <c r="D59">
        <f t="shared" si="4"/>
        <v>0</v>
      </c>
      <c r="E59" s="281">
        <f t="shared" si="5"/>
        <v>5000</v>
      </c>
      <c r="F59">
        <f t="shared" si="6"/>
        <v>0.54208637986090902</v>
      </c>
      <c r="G59">
        <f t="shared" si="0"/>
        <v>0.34770347352843817</v>
      </c>
      <c r="I59" s="281">
        <f t="shared" si="1"/>
        <v>5000</v>
      </c>
      <c r="K59" s="281">
        <f t="shared" si="2"/>
        <v>5000</v>
      </c>
    </row>
    <row r="60" spans="1:14" x14ac:dyDescent="0.3">
      <c r="A60" s="62"/>
      <c r="C60" s="35">
        <f t="shared" si="3"/>
        <v>70</v>
      </c>
      <c r="D60">
        <f t="shared" si="4"/>
        <v>0</v>
      </c>
      <c r="E60" s="281">
        <f t="shared" si="5"/>
        <v>5000</v>
      </c>
      <c r="F60">
        <f t="shared" si="6"/>
        <v>0.54208637986090902</v>
      </c>
      <c r="G60">
        <f t="shared" si="0"/>
        <v>0.33273059667793131</v>
      </c>
      <c r="I60" s="281">
        <f t="shared" si="1"/>
        <v>5000</v>
      </c>
      <c r="K60" s="281">
        <f t="shared" si="2"/>
        <v>5000</v>
      </c>
    </row>
    <row r="61" spans="1:14" x14ac:dyDescent="0.3">
      <c r="A61" s="62"/>
      <c r="C61" s="35">
        <f t="shared" si="3"/>
        <v>71</v>
      </c>
      <c r="D61">
        <f t="shared" si="4"/>
        <v>0</v>
      </c>
      <c r="E61" s="281">
        <f t="shared" si="5"/>
        <v>5000</v>
      </c>
      <c r="F61">
        <f t="shared" si="6"/>
        <v>0.54208637986090902</v>
      </c>
      <c r="G61">
        <f t="shared" si="0"/>
        <v>0.31840248485926448</v>
      </c>
      <c r="I61" s="281">
        <f t="shared" si="1"/>
        <v>5000</v>
      </c>
      <c r="K61" s="281">
        <f t="shared" si="2"/>
        <v>5000</v>
      </c>
    </row>
    <row r="62" spans="1:14" x14ac:dyDescent="0.3">
      <c r="A62" s="62"/>
      <c r="C62" s="35">
        <f t="shared" si="3"/>
        <v>72</v>
      </c>
      <c r="D62">
        <f t="shared" si="4"/>
        <v>0</v>
      </c>
      <c r="E62" s="281">
        <f t="shared" si="5"/>
        <v>5000</v>
      </c>
      <c r="F62">
        <f t="shared" si="6"/>
        <v>0.54208637986090902</v>
      </c>
      <c r="G62">
        <f t="shared" si="0"/>
        <v>0.30469137307106647</v>
      </c>
      <c r="I62" s="281">
        <f t="shared" si="1"/>
        <v>5000</v>
      </c>
      <c r="K62" s="281">
        <f t="shared" si="2"/>
        <v>5000</v>
      </c>
    </row>
    <row r="63" spans="1:14" x14ac:dyDescent="0.3">
      <c r="A63" s="62"/>
      <c r="C63" s="35">
        <f t="shared" si="3"/>
        <v>73</v>
      </c>
      <c r="D63">
        <f t="shared" si="4"/>
        <v>0</v>
      </c>
      <c r="E63" s="281">
        <f t="shared" si="5"/>
        <v>5000</v>
      </c>
      <c r="F63">
        <f t="shared" si="6"/>
        <v>0.54208637986090902</v>
      </c>
      <c r="G63">
        <f t="shared" si="0"/>
        <v>0.29157069193403495</v>
      </c>
      <c r="I63" s="281">
        <f t="shared" si="1"/>
        <v>5000</v>
      </c>
      <c r="K63" s="281">
        <f t="shared" si="2"/>
        <v>5000</v>
      </c>
    </row>
    <row r="64" spans="1:14" x14ac:dyDescent="0.3">
      <c r="A64" s="62"/>
      <c r="C64" s="35">
        <f t="shared" si="3"/>
        <v>74</v>
      </c>
      <c r="D64">
        <f t="shared" si="4"/>
        <v>0</v>
      </c>
      <c r="E64" s="281">
        <f t="shared" si="5"/>
        <v>5000</v>
      </c>
      <c r="F64">
        <f t="shared" si="6"/>
        <v>0.54208637986090902</v>
      </c>
      <c r="G64">
        <f t="shared" si="0"/>
        <v>0.27901501620481822</v>
      </c>
      <c r="I64" s="281">
        <f t="shared" si="1"/>
        <v>5000</v>
      </c>
      <c r="K64" s="281">
        <f t="shared" si="2"/>
        <v>5000</v>
      </c>
    </row>
    <row r="65" spans="1:11" x14ac:dyDescent="0.3">
      <c r="A65" s="62"/>
      <c r="C65" s="35">
        <f t="shared" si="3"/>
        <v>75</v>
      </c>
      <c r="D65">
        <f t="shared" si="4"/>
        <v>0</v>
      </c>
      <c r="E65" s="281">
        <f t="shared" si="5"/>
        <v>5000</v>
      </c>
      <c r="F65">
        <f t="shared" si="6"/>
        <v>0.54208637986090902</v>
      </c>
      <c r="G65">
        <f t="shared" si="0"/>
        <v>0.26700001550700314</v>
      </c>
      <c r="I65" s="281">
        <f t="shared" si="1"/>
        <v>5000</v>
      </c>
      <c r="K65" s="281">
        <f t="shared" si="2"/>
        <v>5000</v>
      </c>
    </row>
    <row r="66" spans="1:11" x14ac:dyDescent="0.3">
      <c r="A66" s="62"/>
      <c r="C66" s="35">
        <f t="shared" si="3"/>
        <v>76</v>
      </c>
      <c r="D66">
        <f t="shared" si="4"/>
        <v>0</v>
      </c>
      <c r="E66" s="281">
        <f t="shared" si="5"/>
        <v>5000</v>
      </c>
      <c r="F66">
        <f t="shared" si="6"/>
        <v>0.54208637986090902</v>
      </c>
      <c r="G66">
        <f t="shared" si="0"/>
        <v>0.25550240718373507</v>
      </c>
      <c r="I66" s="281">
        <f t="shared" si="1"/>
        <v>0</v>
      </c>
      <c r="K66" s="281">
        <f t="shared" si="2"/>
        <v>0</v>
      </c>
    </row>
    <row r="67" spans="1:11" x14ac:dyDescent="0.3">
      <c r="A67" s="62"/>
      <c r="C67" s="35">
        <f t="shared" si="3"/>
        <v>77</v>
      </c>
      <c r="D67">
        <f t="shared" si="4"/>
        <v>0</v>
      </c>
      <c r="E67" s="281">
        <f t="shared" si="5"/>
        <v>5000</v>
      </c>
      <c r="F67">
        <f t="shared" si="6"/>
        <v>0.54208637986090902</v>
      </c>
      <c r="G67">
        <f t="shared" si="0"/>
        <v>0.24449991118060774</v>
      </c>
      <c r="I67" s="281">
        <f t="shared" si="1"/>
        <v>0</v>
      </c>
      <c r="K67" s="281">
        <f t="shared" si="2"/>
        <v>0</v>
      </c>
    </row>
    <row r="68" spans="1:11" x14ac:dyDescent="0.3">
      <c r="A68" s="62"/>
      <c r="C68" s="35">
        <f t="shared" si="3"/>
        <v>78</v>
      </c>
      <c r="D68">
        <f t="shared" si="4"/>
        <v>0</v>
      </c>
      <c r="E68" s="281">
        <f t="shared" si="5"/>
        <v>5000</v>
      </c>
      <c r="F68">
        <f t="shared" si="6"/>
        <v>0.54208637986090902</v>
      </c>
      <c r="G68">
        <f t="shared" si="0"/>
        <v>0.233971206871395</v>
      </c>
      <c r="I68" s="281">
        <f t="shared" si="1"/>
        <v>0</v>
      </c>
      <c r="K68" s="281">
        <f t="shared" si="2"/>
        <v>0</v>
      </c>
    </row>
    <row r="69" spans="1:11" x14ac:dyDescent="0.3">
      <c r="A69" s="62"/>
      <c r="C69" s="35">
        <f t="shared" si="3"/>
        <v>79</v>
      </c>
      <c r="D69">
        <f t="shared" si="4"/>
        <v>0</v>
      </c>
      <c r="E69" s="281">
        <f t="shared" si="5"/>
        <v>5000</v>
      </c>
      <c r="F69">
        <f t="shared" si="6"/>
        <v>0.54208637986090902</v>
      </c>
      <c r="G69">
        <f t="shared" si="0"/>
        <v>0.22389589174296173</v>
      </c>
      <c r="I69" s="281">
        <f t="shared" si="1"/>
        <v>0</v>
      </c>
      <c r="K69" s="281">
        <f t="shared" si="2"/>
        <v>0</v>
      </c>
    </row>
    <row r="70" spans="1:11" x14ac:dyDescent="0.3">
      <c r="A70" s="62"/>
      <c r="C70" s="35">
        <f t="shared" si="3"/>
        <v>80</v>
      </c>
      <c r="D70">
        <f t="shared" si="4"/>
        <v>0</v>
      </c>
      <c r="E70" s="281">
        <f t="shared" si="5"/>
        <v>5000</v>
      </c>
      <c r="F70">
        <f t="shared" si="6"/>
        <v>0.54208637986090902</v>
      </c>
      <c r="G70">
        <f t="shared" si="0"/>
        <v>0.21425444185929357</v>
      </c>
      <c r="I70" s="281">
        <f t="shared" si="1"/>
        <v>0</v>
      </c>
      <c r="K70" s="281">
        <f t="shared" si="2"/>
        <v>0</v>
      </c>
    </row>
    <row r="71" spans="1:11" x14ac:dyDescent="0.3">
      <c r="A71" s="62"/>
      <c r="C71" s="35">
        <f t="shared" si="3"/>
        <v>81</v>
      </c>
      <c r="D71">
        <f t="shared" si="4"/>
        <v>0</v>
      </c>
      <c r="E71" s="281">
        <f t="shared" si="5"/>
        <v>5000</v>
      </c>
      <c r="F71">
        <f t="shared" si="6"/>
        <v>0.54208637986090902</v>
      </c>
      <c r="G71">
        <f t="shared" si="0"/>
        <v>0.20502817402803214</v>
      </c>
      <c r="I71" s="281">
        <f t="shared" si="1"/>
        <v>0</v>
      </c>
      <c r="K71" s="281">
        <f t="shared" si="2"/>
        <v>0</v>
      </c>
    </row>
    <row r="72" spans="1:11" x14ac:dyDescent="0.3">
      <c r="A72" s="62"/>
      <c r="C72" s="35">
        <f t="shared" si="3"/>
        <v>82</v>
      </c>
      <c r="D72">
        <f t="shared" si="4"/>
        <v>0</v>
      </c>
      <c r="E72" s="281">
        <f t="shared" si="5"/>
        <v>5000</v>
      </c>
      <c r="F72">
        <f t="shared" si="6"/>
        <v>0.54208637986090902</v>
      </c>
      <c r="G72">
        <f t="shared" si="0"/>
        <v>0.19619920959620304</v>
      </c>
      <c r="I72" s="281">
        <f t="shared" si="1"/>
        <v>0</v>
      </c>
      <c r="K72" s="281">
        <f t="shared" si="2"/>
        <v>0</v>
      </c>
    </row>
    <row r="73" spans="1:11" x14ac:dyDescent="0.3">
      <c r="A73" s="62"/>
      <c r="C73" s="35">
        <f t="shared" si="3"/>
        <v>83</v>
      </c>
      <c r="D73">
        <f t="shared" si="4"/>
        <v>0</v>
      </c>
      <c r="E73" s="281">
        <f t="shared" si="5"/>
        <v>5000</v>
      </c>
      <c r="F73">
        <f t="shared" si="6"/>
        <v>0.54208637986090902</v>
      </c>
      <c r="G73">
        <f t="shared" si="0"/>
        <v>0.18775043980497902</v>
      </c>
      <c r="I73" s="281">
        <f t="shared" si="1"/>
        <v>0</v>
      </c>
      <c r="K73" s="281">
        <f t="shared" si="2"/>
        <v>0</v>
      </c>
    </row>
    <row r="74" spans="1:11" x14ac:dyDescent="0.3">
      <c r="A74" s="62"/>
      <c r="C74" s="35">
        <f t="shared" si="3"/>
        <v>84</v>
      </c>
      <c r="D74">
        <f t="shared" si="4"/>
        <v>0</v>
      </c>
      <c r="E74" s="281">
        <f t="shared" si="5"/>
        <v>5000</v>
      </c>
      <c r="F74">
        <f t="shared" si="6"/>
        <v>0.54208637986090902</v>
      </c>
      <c r="G74">
        <f t="shared" si="0"/>
        <v>0.17966549263634357</v>
      </c>
      <c r="I74" s="281">
        <f t="shared" si="1"/>
        <v>0</v>
      </c>
      <c r="K74" s="281">
        <f t="shared" si="2"/>
        <v>0</v>
      </c>
    </row>
    <row r="75" spans="1:11" x14ac:dyDescent="0.3">
      <c r="A75" s="62"/>
      <c r="C75" s="35">
        <f t="shared" si="3"/>
        <v>85</v>
      </c>
      <c r="D75">
        <f t="shared" si="4"/>
        <v>0</v>
      </c>
      <c r="E75" s="281">
        <f t="shared" si="5"/>
        <v>5000</v>
      </c>
      <c r="F75">
        <f t="shared" si="6"/>
        <v>0.54208637986090902</v>
      </c>
      <c r="G75">
        <f t="shared" si="0"/>
        <v>0.17192870108741015</v>
      </c>
      <c r="I75" s="281">
        <f t="shared" si="1"/>
        <v>0</v>
      </c>
      <c r="K75" s="281">
        <f t="shared" si="2"/>
        <v>0</v>
      </c>
    </row>
    <row r="77" spans="1:11" x14ac:dyDescent="0.3">
      <c r="I77" s="282">
        <f>SUMPRODUCT(I35:I75,$G$35:$G$75,$F$35:$F$75)</f>
        <v>13700.890368291341</v>
      </c>
      <c r="K77" s="282">
        <f>SUMPRODUCT(K35:K75,$G$35:$G$75,$F$35:$F$75)</f>
        <v>10016.658446218367</v>
      </c>
    </row>
    <row r="78" spans="1:11" x14ac:dyDescent="0.3">
      <c r="H78" t="s">
        <v>1263</v>
      </c>
      <c r="I78">
        <f>C21</f>
        <v>0.5</v>
      </c>
      <c r="K78">
        <f>1-I78</f>
        <v>0.5</v>
      </c>
    </row>
    <row r="80" spans="1:11" x14ac:dyDescent="0.3">
      <c r="I80" t="s">
        <v>1236</v>
      </c>
      <c r="J80" s="4">
        <f>I77*I78+K77*K78</f>
        <v>11858.774407254854</v>
      </c>
    </row>
    <row r="82" spans="8:9" x14ac:dyDescent="0.3">
      <c r="H82" s="35" t="s">
        <v>1262</v>
      </c>
      <c r="I82">
        <f>C28-C15</f>
        <v>5</v>
      </c>
    </row>
    <row r="83" spans="8:9" x14ac:dyDescent="0.3">
      <c r="H83" s="35" t="s">
        <v>1261</v>
      </c>
      <c r="I83">
        <f>C14-I82</f>
        <v>15</v>
      </c>
    </row>
    <row r="84" spans="8:9" x14ac:dyDescent="0.3">
      <c r="H84" s="35" t="s">
        <v>1260</v>
      </c>
      <c r="I84">
        <f>I82+I83</f>
        <v>20</v>
      </c>
    </row>
    <row r="86" spans="8:9" x14ac:dyDescent="0.3">
      <c r="H86" s="35" t="s">
        <v>1259</v>
      </c>
      <c r="I86" s="4">
        <f>(I82/I84)*J80</f>
        <v>2964.6936018137135</v>
      </c>
    </row>
    <row r="87" spans="8:9" x14ac:dyDescent="0.3">
      <c r="H87" s="35" t="s">
        <v>1234</v>
      </c>
      <c r="I87" s="4">
        <f>J80/I84</f>
        <v>592.93872036274274</v>
      </c>
    </row>
    <row r="88" spans="8:9" x14ac:dyDescent="0.3">
      <c r="H88" s="35" t="s">
        <v>1233</v>
      </c>
      <c r="I88" s="4">
        <f>C25*(I86+I87-0/2)</f>
        <v>160.09345449794051</v>
      </c>
    </row>
  </sheetData>
  <mergeCells count="2">
    <mergeCell ref="C10:F10"/>
    <mergeCell ref="C31:G31"/>
  </mergeCell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C171-5343-4EF2-A8F6-DF619D44DCF2}">
  <sheetPr>
    <tabColor theme="5" tint="0.39997558519241921"/>
  </sheetPr>
  <dimension ref="A1:O64"/>
  <sheetViews>
    <sheetView zoomScaleNormal="100" workbookViewId="0">
      <selection activeCell="A47" sqref="A47"/>
    </sheetView>
  </sheetViews>
  <sheetFormatPr defaultColWidth="8.6640625" defaultRowHeight="15.6" x14ac:dyDescent="0.3"/>
  <cols>
    <col min="1" max="1" width="69.6640625" style="328" customWidth="1"/>
    <col min="2" max="2" width="18.109375" style="328" customWidth="1"/>
    <col min="3" max="3" width="24.6640625" style="328" bestFit="1" customWidth="1"/>
    <col min="4" max="4" width="16.6640625" style="328" bestFit="1" customWidth="1"/>
    <col min="5" max="5" width="26.6640625" style="328" bestFit="1" customWidth="1"/>
    <col min="6" max="10" width="18.33203125" style="328" customWidth="1"/>
    <col min="11" max="16384" width="8.6640625" style="328"/>
  </cols>
  <sheetData>
    <row r="1" spans="1:15" ht="22.8" x14ac:dyDescent="0.4">
      <c r="A1" s="336" t="s">
        <v>1173</v>
      </c>
      <c r="B1" s="331"/>
      <c r="C1" s="331"/>
      <c r="D1" s="331"/>
      <c r="E1" s="331"/>
      <c r="F1" s="331"/>
      <c r="G1" s="331"/>
      <c r="H1" s="331"/>
      <c r="I1" s="331"/>
      <c r="J1" s="331"/>
      <c r="K1" s="331"/>
      <c r="L1" s="331"/>
      <c r="M1" s="331"/>
      <c r="N1" s="331"/>
      <c r="O1" s="331"/>
    </row>
    <row r="2" spans="1:15" x14ac:dyDescent="0.3">
      <c r="A2" s="333" t="s">
        <v>1172</v>
      </c>
      <c r="B2" s="331"/>
      <c r="C2" s="331"/>
      <c r="D2" s="331"/>
      <c r="E2" s="331"/>
      <c r="F2" s="331"/>
      <c r="G2" s="331"/>
      <c r="H2" s="331"/>
      <c r="I2" s="331"/>
      <c r="J2" s="331"/>
      <c r="K2" s="331"/>
      <c r="L2" s="331"/>
      <c r="M2" s="331"/>
      <c r="N2" s="331"/>
      <c r="O2" s="331"/>
    </row>
    <row r="3" spans="1:15" x14ac:dyDescent="0.3">
      <c r="A3" s="331" t="s">
        <v>1171</v>
      </c>
      <c r="B3" s="331"/>
      <c r="C3" s="331"/>
      <c r="D3" s="331"/>
      <c r="E3" s="331"/>
      <c r="F3" s="331"/>
      <c r="G3" s="331"/>
      <c r="H3" s="331"/>
      <c r="I3" s="331"/>
      <c r="J3" s="331"/>
      <c r="K3" s="331"/>
      <c r="L3" s="331"/>
      <c r="M3" s="331"/>
      <c r="N3" s="331"/>
      <c r="O3" s="331"/>
    </row>
    <row r="4" spans="1:15" x14ac:dyDescent="0.3">
      <c r="A4" s="331" t="s">
        <v>1170</v>
      </c>
      <c r="B4" s="331"/>
      <c r="C4" s="331"/>
      <c r="D4" s="331"/>
      <c r="E4" s="331"/>
      <c r="F4" s="331"/>
      <c r="G4" s="331"/>
      <c r="H4" s="331"/>
      <c r="I4" s="331"/>
      <c r="J4" s="331"/>
      <c r="K4" s="331"/>
      <c r="L4" s="331"/>
      <c r="M4" s="331"/>
      <c r="N4" s="331"/>
      <c r="O4" s="331"/>
    </row>
    <row r="5" spans="1:15" x14ac:dyDescent="0.3">
      <c r="A5" s="331" t="s">
        <v>1169</v>
      </c>
      <c r="B5" s="331"/>
      <c r="C5" s="331"/>
      <c r="D5" s="331"/>
      <c r="E5" s="331"/>
      <c r="F5" s="331"/>
      <c r="G5" s="331"/>
      <c r="H5" s="331"/>
      <c r="I5" s="331"/>
      <c r="J5" s="331"/>
      <c r="K5" s="331"/>
      <c r="L5" s="331"/>
      <c r="M5" s="331"/>
      <c r="N5" s="331"/>
      <c r="O5" s="331"/>
    </row>
    <row r="6" spans="1:15" x14ac:dyDescent="0.3">
      <c r="A6" s="331" t="s">
        <v>1168</v>
      </c>
      <c r="B6" s="331"/>
      <c r="C6" s="331"/>
      <c r="D6" s="331"/>
      <c r="E6" s="331"/>
      <c r="F6" s="331"/>
      <c r="G6" s="331"/>
      <c r="H6" s="331"/>
      <c r="I6" s="331"/>
      <c r="J6" s="331"/>
      <c r="K6" s="331"/>
      <c r="L6" s="331"/>
      <c r="M6" s="331"/>
      <c r="N6" s="331"/>
      <c r="O6" s="331"/>
    </row>
    <row r="7" spans="1:15" x14ac:dyDescent="0.3">
      <c r="A7" s="331" t="s">
        <v>1167</v>
      </c>
      <c r="B7" s="331"/>
      <c r="C7" s="331"/>
      <c r="D7" s="331"/>
      <c r="E7" s="331"/>
      <c r="F7" s="331"/>
      <c r="G7" s="331"/>
      <c r="H7" s="331"/>
      <c r="I7" s="331"/>
      <c r="J7" s="331"/>
      <c r="K7" s="331"/>
      <c r="L7" s="331"/>
      <c r="M7" s="331"/>
      <c r="N7" s="331"/>
      <c r="O7" s="331"/>
    </row>
    <row r="8" spans="1:15" x14ac:dyDescent="0.3">
      <c r="A8" s="331" t="s">
        <v>1166</v>
      </c>
      <c r="B8" s="331"/>
      <c r="C8" s="331"/>
      <c r="D8" s="331"/>
      <c r="E8" s="331"/>
      <c r="F8" s="331"/>
      <c r="G8" s="331"/>
      <c r="H8" s="331"/>
      <c r="I8" s="331"/>
      <c r="J8" s="331"/>
      <c r="K8" s="331"/>
      <c r="L8" s="331"/>
      <c r="M8" s="331"/>
      <c r="N8" s="331"/>
      <c r="O8" s="331"/>
    </row>
    <row r="9" spans="1:15" x14ac:dyDescent="0.3">
      <c r="A9" s="331"/>
      <c r="B9" s="331"/>
      <c r="C9" s="331"/>
      <c r="D9" s="331"/>
      <c r="E9" s="331"/>
      <c r="F9" s="331"/>
      <c r="G9" s="331"/>
      <c r="H9" s="331"/>
      <c r="I9" s="331"/>
      <c r="J9" s="331"/>
      <c r="K9" s="331"/>
      <c r="L9" s="331"/>
      <c r="M9" s="331"/>
      <c r="N9" s="331"/>
      <c r="O9" s="331"/>
    </row>
    <row r="10" spans="1:15" x14ac:dyDescent="0.3">
      <c r="A10" s="331" t="s">
        <v>1165</v>
      </c>
      <c r="B10" s="331"/>
      <c r="C10" s="331"/>
      <c r="D10" s="331"/>
      <c r="E10" s="331"/>
      <c r="F10" s="331"/>
      <c r="G10" s="331"/>
      <c r="H10" s="331"/>
      <c r="I10" s="331"/>
      <c r="J10" s="331"/>
      <c r="K10" s="331"/>
      <c r="L10" s="331"/>
      <c r="M10" s="331"/>
      <c r="N10" s="331"/>
      <c r="O10" s="331"/>
    </row>
    <row r="11" spans="1:15" x14ac:dyDescent="0.3">
      <c r="A11" s="331"/>
      <c r="B11" s="331"/>
      <c r="C11" s="331"/>
      <c r="D11" s="331"/>
      <c r="E11" s="331"/>
      <c r="F11" s="331"/>
      <c r="G11" s="331"/>
      <c r="H11" s="331"/>
      <c r="I11" s="331"/>
      <c r="J11" s="331"/>
      <c r="K11" s="331"/>
      <c r="L11" s="331"/>
      <c r="M11" s="331"/>
      <c r="N11" s="331"/>
      <c r="O11" s="331"/>
    </row>
    <row r="12" spans="1:15" x14ac:dyDescent="0.3">
      <c r="A12" s="331" t="s">
        <v>1164</v>
      </c>
      <c r="B12" s="331"/>
      <c r="C12" s="331"/>
      <c r="D12" s="331"/>
      <c r="E12" s="331"/>
      <c r="F12" s="331"/>
      <c r="G12" s="331"/>
      <c r="H12" s="331"/>
      <c r="I12" s="331"/>
      <c r="J12" s="331"/>
      <c r="K12" s="331"/>
      <c r="L12" s="331"/>
      <c r="M12" s="331"/>
      <c r="N12" s="331"/>
      <c r="O12" s="331"/>
    </row>
    <row r="13" spans="1:15" x14ac:dyDescent="0.3">
      <c r="A13" s="331" t="s">
        <v>1163</v>
      </c>
      <c r="B13" s="331"/>
      <c r="C13" s="331"/>
      <c r="D13" s="331"/>
      <c r="E13" s="331"/>
      <c r="F13" s="331"/>
      <c r="G13" s="331"/>
      <c r="H13" s="331"/>
      <c r="I13" s="331"/>
      <c r="J13" s="331"/>
      <c r="K13" s="331"/>
      <c r="L13" s="331"/>
      <c r="M13" s="331"/>
      <c r="N13" s="331"/>
      <c r="O13" s="331"/>
    </row>
    <row r="14" spans="1:15" x14ac:dyDescent="0.3">
      <c r="A14" s="331" t="s">
        <v>1162</v>
      </c>
      <c r="B14" s="331"/>
      <c r="C14" s="331"/>
      <c r="D14" s="331"/>
      <c r="E14" s="331"/>
      <c r="F14" s="331"/>
      <c r="G14" s="331"/>
      <c r="H14" s="331"/>
      <c r="I14" s="331"/>
      <c r="J14" s="331"/>
      <c r="K14" s="331"/>
      <c r="L14" s="331"/>
      <c r="M14" s="331"/>
      <c r="N14" s="331"/>
      <c r="O14" s="331"/>
    </row>
    <row r="15" spans="1:15" x14ac:dyDescent="0.3">
      <c r="A15" s="331" t="s">
        <v>1161</v>
      </c>
      <c r="B15" s="331"/>
      <c r="C15" s="331"/>
      <c r="D15" s="331"/>
      <c r="E15" s="331"/>
      <c r="F15" s="331"/>
      <c r="G15" s="331"/>
      <c r="H15" s="331"/>
      <c r="I15" s="331"/>
      <c r="J15" s="331"/>
      <c r="K15" s="331"/>
      <c r="L15" s="331"/>
      <c r="M15" s="331"/>
      <c r="N15" s="331"/>
      <c r="O15" s="331"/>
    </row>
    <row r="16" spans="1:15" x14ac:dyDescent="0.3">
      <c r="A16" s="331"/>
      <c r="B16" s="331"/>
      <c r="C16" s="331"/>
      <c r="D16" s="331"/>
      <c r="E16" s="331"/>
      <c r="F16" s="331"/>
      <c r="G16" s="331"/>
      <c r="H16" s="331"/>
      <c r="I16" s="331"/>
      <c r="J16" s="331"/>
      <c r="K16" s="331"/>
      <c r="L16" s="331"/>
      <c r="M16" s="331"/>
      <c r="N16" s="331"/>
      <c r="O16" s="331"/>
    </row>
    <row r="17" spans="1:15" x14ac:dyDescent="0.3">
      <c r="A17" s="331" t="s">
        <v>1160</v>
      </c>
      <c r="B17" s="331"/>
      <c r="C17" s="331"/>
      <c r="D17" s="331"/>
      <c r="E17" s="331"/>
      <c r="F17" s="331"/>
      <c r="G17" s="331"/>
      <c r="H17" s="331"/>
      <c r="I17" s="331"/>
      <c r="J17" s="331"/>
      <c r="K17" s="331"/>
      <c r="L17" s="331"/>
      <c r="M17" s="331"/>
      <c r="N17" s="331"/>
      <c r="O17" s="331"/>
    </row>
    <row r="18" spans="1:15" x14ac:dyDescent="0.3">
      <c r="A18" s="331" t="s">
        <v>1159</v>
      </c>
      <c r="B18" s="331"/>
      <c r="C18" s="331"/>
      <c r="D18" s="331"/>
      <c r="E18" s="331"/>
      <c r="F18" s="331"/>
      <c r="G18" s="331"/>
      <c r="H18" s="331"/>
      <c r="I18" s="331"/>
      <c r="J18" s="331"/>
      <c r="K18" s="331"/>
      <c r="L18" s="331"/>
      <c r="M18" s="331"/>
      <c r="N18" s="331"/>
      <c r="O18" s="331"/>
    </row>
    <row r="19" spans="1:15" x14ac:dyDescent="0.3">
      <c r="A19" s="331"/>
      <c r="B19" s="331"/>
      <c r="C19" s="331"/>
      <c r="D19" s="331"/>
      <c r="E19" s="331"/>
      <c r="F19" s="331"/>
      <c r="G19" s="331"/>
      <c r="H19" s="331"/>
      <c r="I19" s="331"/>
      <c r="J19" s="331"/>
      <c r="K19" s="331"/>
      <c r="L19" s="331"/>
      <c r="M19" s="331"/>
      <c r="N19" s="331"/>
      <c r="O19" s="331"/>
    </row>
    <row r="20" spans="1:15" x14ac:dyDescent="0.3">
      <c r="A20" s="332" t="s">
        <v>1158</v>
      </c>
      <c r="B20" s="331"/>
      <c r="C20" s="331"/>
      <c r="D20" s="331"/>
      <c r="E20" s="331"/>
      <c r="F20" s="331"/>
      <c r="G20" s="331"/>
      <c r="H20" s="331"/>
      <c r="I20" s="331"/>
      <c r="J20" s="331"/>
      <c r="K20" s="331"/>
      <c r="L20" s="331"/>
      <c r="M20" s="331"/>
      <c r="N20" s="331"/>
      <c r="O20" s="331"/>
    </row>
    <row r="22" spans="1:15" s="335" customFormat="1" ht="13.2" x14ac:dyDescent="0.25"/>
    <row r="23" spans="1:15" s="335" customFormat="1" ht="13.2" x14ac:dyDescent="0.25"/>
    <row r="24" spans="1:15" s="335" customFormat="1" ht="13.2" x14ac:dyDescent="0.25"/>
    <row r="31" spans="1:15" x14ac:dyDescent="0.3">
      <c r="A31" s="333" t="s">
        <v>1157</v>
      </c>
      <c r="B31" s="331"/>
      <c r="C31" s="331"/>
      <c r="D31" s="331"/>
      <c r="E31" s="331"/>
      <c r="F31" s="331"/>
      <c r="G31" s="331"/>
      <c r="H31" s="331"/>
      <c r="I31" s="331"/>
      <c r="J31" s="331"/>
      <c r="K31" s="331"/>
      <c r="L31" s="331"/>
      <c r="M31" s="331"/>
      <c r="N31" s="331"/>
      <c r="O31" s="331"/>
    </row>
    <row r="32" spans="1:15" x14ac:dyDescent="0.3">
      <c r="A32" s="331" t="s">
        <v>1156</v>
      </c>
      <c r="B32" s="331"/>
      <c r="C32" s="331"/>
      <c r="D32" s="334">
        <v>350</v>
      </c>
      <c r="E32" s="331"/>
      <c r="F32" s="331"/>
      <c r="G32" s="331"/>
      <c r="H32" s="331"/>
      <c r="I32" s="331"/>
      <c r="J32" s="331"/>
      <c r="K32" s="331"/>
      <c r="L32" s="331"/>
      <c r="M32" s="331"/>
      <c r="N32" s="331"/>
      <c r="O32" s="331"/>
    </row>
    <row r="33" spans="1:15" x14ac:dyDescent="0.3">
      <c r="A33" s="331" t="s">
        <v>1155</v>
      </c>
      <c r="B33" s="331"/>
      <c r="C33" s="331"/>
      <c r="D33" s="334">
        <v>335</v>
      </c>
      <c r="E33" s="331"/>
      <c r="F33" s="331"/>
      <c r="G33" s="331"/>
      <c r="H33" s="331"/>
      <c r="I33" s="331"/>
      <c r="J33" s="331"/>
      <c r="K33" s="331"/>
      <c r="L33" s="331"/>
      <c r="M33" s="331"/>
      <c r="N33" s="331"/>
      <c r="O33" s="331"/>
    </row>
    <row r="34" spans="1:15" x14ac:dyDescent="0.3">
      <c r="A34" s="331" t="s">
        <v>1154</v>
      </c>
      <c r="B34" s="331"/>
      <c r="C34" s="331"/>
      <c r="D34" s="334">
        <v>100</v>
      </c>
      <c r="E34" s="331"/>
      <c r="F34" s="331"/>
      <c r="G34" s="331"/>
      <c r="H34" s="331"/>
      <c r="I34" s="331"/>
      <c r="J34" s="331"/>
      <c r="K34" s="331"/>
      <c r="L34" s="331"/>
      <c r="M34" s="331"/>
      <c r="N34" s="331"/>
      <c r="O34" s="331"/>
    </row>
    <row r="35" spans="1:15" x14ac:dyDescent="0.3">
      <c r="A35" s="333"/>
      <c r="B35" s="331"/>
      <c r="C35" s="331"/>
      <c r="D35" s="331"/>
      <c r="E35" s="331"/>
      <c r="F35" s="331"/>
      <c r="G35" s="331"/>
      <c r="H35" s="331"/>
      <c r="I35" s="331"/>
      <c r="J35" s="331"/>
      <c r="K35" s="331"/>
      <c r="L35" s="331"/>
      <c r="M35" s="331"/>
      <c r="N35" s="331"/>
      <c r="O35" s="331"/>
    </row>
    <row r="36" spans="1:15" x14ac:dyDescent="0.3">
      <c r="A36" s="333" t="s">
        <v>1153</v>
      </c>
      <c r="B36" s="331"/>
      <c r="C36" s="331"/>
      <c r="D36" s="331"/>
      <c r="E36" s="331"/>
      <c r="F36" s="331"/>
      <c r="G36" s="331"/>
      <c r="H36" s="331"/>
      <c r="I36" s="331"/>
      <c r="J36" s="331"/>
      <c r="K36" s="331"/>
      <c r="L36" s="331"/>
      <c r="M36" s="331"/>
      <c r="N36" s="331"/>
      <c r="O36" s="331"/>
    </row>
    <row r="37" spans="1:15" x14ac:dyDescent="0.3">
      <c r="A37" s="333" t="s">
        <v>1152</v>
      </c>
      <c r="B37" s="331"/>
      <c r="C37" s="331"/>
      <c r="D37" s="331"/>
      <c r="E37" s="331"/>
      <c r="F37" s="331"/>
      <c r="G37" s="331"/>
      <c r="H37" s="331"/>
      <c r="I37" s="331"/>
      <c r="J37" s="331"/>
      <c r="K37" s="331"/>
      <c r="L37" s="331"/>
      <c r="M37" s="331"/>
      <c r="N37" s="331"/>
      <c r="O37" s="331"/>
    </row>
    <row r="38" spans="1:15" x14ac:dyDescent="0.3">
      <c r="A38" s="333"/>
      <c r="B38" s="331"/>
      <c r="C38" s="331"/>
      <c r="D38" s="331"/>
      <c r="E38" s="331"/>
      <c r="F38" s="331"/>
      <c r="G38" s="331"/>
      <c r="H38" s="331"/>
      <c r="I38" s="331"/>
      <c r="J38" s="331"/>
      <c r="K38" s="331"/>
      <c r="L38" s="331"/>
      <c r="M38" s="331"/>
      <c r="N38" s="331"/>
      <c r="O38" s="331"/>
    </row>
    <row r="39" spans="1:15" x14ac:dyDescent="0.3">
      <c r="A39" s="333" t="s">
        <v>1151</v>
      </c>
      <c r="B39" s="331"/>
      <c r="C39" s="331"/>
      <c r="D39" s="331"/>
      <c r="E39" s="331"/>
      <c r="F39" s="331"/>
      <c r="G39" s="331"/>
      <c r="H39" s="331"/>
      <c r="I39" s="331"/>
      <c r="J39" s="331"/>
      <c r="K39" s="331"/>
      <c r="L39" s="331"/>
      <c r="M39" s="331"/>
      <c r="N39" s="331"/>
      <c r="O39" s="331"/>
    </row>
    <row r="40" spans="1:15" x14ac:dyDescent="0.3">
      <c r="A40" s="333" t="s">
        <v>1150</v>
      </c>
      <c r="B40" s="331"/>
      <c r="C40" s="331"/>
      <c r="D40" s="331"/>
      <c r="E40" s="331"/>
      <c r="F40" s="331"/>
      <c r="G40" s="331"/>
      <c r="H40" s="331"/>
      <c r="I40" s="331"/>
      <c r="J40" s="331"/>
      <c r="K40" s="331"/>
      <c r="L40" s="331"/>
      <c r="M40" s="331"/>
      <c r="N40" s="331"/>
      <c r="O40" s="331"/>
    </row>
    <row r="41" spans="1:15" x14ac:dyDescent="0.3">
      <c r="A41" s="333"/>
      <c r="B41" s="331"/>
      <c r="C41" s="331"/>
      <c r="D41" s="331"/>
      <c r="E41" s="331"/>
      <c r="F41" s="331"/>
      <c r="G41" s="331"/>
      <c r="H41" s="331"/>
      <c r="I41" s="331"/>
      <c r="J41" s="331"/>
      <c r="K41" s="331"/>
      <c r="L41" s="331"/>
      <c r="M41" s="331"/>
      <c r="N41" s="331"/>
      <c r="O41" s="331"/>
    </row>
    <row r="42" spans="1:15" x14ac:dyDescent="0.3">
      <c r="A42" s="332" t="s">
        <v>1149</v>
      </c>
      <c r="B42" s="331"/>
      <c r="C42" s="331"/>
      <c r="D42" s="331"/>
      <c r="E42" s="331"/>
      <c r="F42" s="331"/>
      <c r="G42" s="331"/>
      <c r="H42" s="331"/>
      <c r="I42" s="331"/>
      <c r="J42" s="331"/>
      <c r="K42" s="331"/>
      <c r="L42" s="331"/>
      <c r="M42" s="331"/>
      <c r="N42" s="331"/>
      <c r="O42" s="331"/>
    </row>
    <row r="43" spans="1:15" x14ac:dyDescent="0.3">
      <c r="A43" s="332" t="s">
        <v>1148</v>
      </c>
      <c r="B43" s="331"/>
      <c r="C43" s="331"/>
      <c r="D43" s="331"/>
      <c r="E43" s="331"/>
      <c r="F43" s="331"/>
      <c r="G43" s="331"/>
      <c r="H43" s="331"/>
      <c r="I43" s="331"/>
      <c r="J43" s="331"/>
      <c r="K43" s="331"/>
      <c r="L43" s="331"/>
      <c r="M43" s="331"/>
      <c r="N43" s="331"/>
      <c r="O43" s="331"/>
    </row>
    <row r="46" spans="1:15" x14ac:dyDescent="0.3">
      <c r="A46" s="329"/>
      <c r="B46" s="329"/>
      <c r="C46" s="329"/>
      <c r="D46" s="329"/>
      <c r="E46" s="329"/>
      <c r="F46" s="329"/>
      <c r="G46" s="329"/>
    </row>
    <row r="47" spans="1:15" x14ac:dyDescent="0.3">
      <c r="A47" s="329"/>
      <c r="B47" s="329"/>
      <c r="C47" s="329"/>
      <c r="D47" s="329"/>
      <c r="E47" s="329"/>
      <c r="F47" s="329"/>
      <c r="G47" s="329"/>
    </row>
    <row r="48" spans="1:15" x14ac:dyDescent="0.3">
      <c r="A48" s="329"/>
      <c r="B48" s="329"/>
      <c r="C48" s="329"/>
      <c r="D48" s="329"/>
      <c r="E48" s="329"/>
      <c r="F48" s="329"/>
      <c r="G48" s="329"/>
    </row>
    <row r="49" spans="1:7" x14ac:dyDescent="0.3">
      <c r="A49" s="329"/>
      <c r="B49" s="329"/>
      <c r="C49" s="329"/>
      <c r="D49" s="329"/>
      <c r="E49" s="329"/>
      <c r="F49" s="329"/>
      <c r="G49" s="329"/>
    </row>
    <row r="50" spans="1:7" x14ac:dyDescent="0.3">
      <c r="A50" s="329"/>
      <c r="B50" s="329"/>
      <c r="C50" s="329"/>
      <c r="D50" s="329"/>
      <c r="E50" s="329"/>
      <c r="F50" s="329"/>
      <c r="G50" s="329"/>
    </row>
    <row r="51" spans="1:7" x14ac:dyDescent="0.3">
      <c r="A51" s="329"/>
      <c r="B51" s="329"/>
      <c r="C51" s="329"/>
      <c r="D51" s="329"/>
      <c r="E51" s="329"/>
      <c r="F51" s="329"/>
      <c r="G51" s="329"/>
    </row>
    <row r="52" spans="1:7" x14ac:dyDescent="0.3">
      <c r="A52" s="329"/>
      <c r="B52" s="329"/>
      <c r="C52" s="329"/>
      <c r="D52" s="329"/>
      <c r="E52" s="329"/>
      <c r="F52" s="329"/>
      <c r="G52" s="329"/>
    </row>
    <row r="53" spans="1:7" x14ac:dyDescent="0.3">
      <c r="A53" s="329"/>
      <c r="B53" s="329"/>
      <c r="C53" s="329"/>
      <c r="D53" s="329"/>
      <c r="E53" s="329"/>
      <c r="F53" s="329"/>
      <c r="G53" s="329"/>
    </row>
    <row r="54" spans="1:7" x14ac:dyDescent="0.3">
      <c r="A54" s="329"/>
      <c r="B54" s="329"/>
      <c r="C54" s="329"/>
      <c r="D54" s="329"/>
      <c r="E54" s="329"/>
      <c r="F54" s="329"/>
      <c r="G54" s="329"/>
    </row>
    <row r="55" spans="1:7" x14ac:dyDescent="0.3">
      <c r="A55" s="329"/>
      <c r="B55" s="329"/>
      <c r="C55" s="329"/>
      <c r="D55" s="329"/>
      <c r="E55" s="329"/>
      <c r="F55" s="329"/>
      <c r="G55" s="329"/>
    </row>
    <row r="56" spans="1:7" x14ac:dyDescent="0.3">
      <c r="A56" s="329"/>
      <c r="B56" s="329"/>
      <c r="C56" s="329"/>
      <c r="D56" s="329"/>
      <c r="E56" s="329"/>
      <c r="F56" s="329"/>
      <c r="G56" s="329"/>
    </row>
    <row r="57" spans="1:7" ht="31.5" customHeight="1" x14ac:dyDescent="0.3"/>
    <row r="58" spans="1:7" ht="20.85" customHeight="1" x14ac:dyDescent="0.3"/>
    <row r="59" spans="1:7" ht="20.85" customHeight="1" x14ac:dyDescent="0.3"/>
    <row r="60" spans="1:7" ht="19.5" customHeight="1" x14ac:dyDescent="0.3"/>
    <row r="61" spans="1:7" x14ac:dyDescent="0.3">
      <c r="A61" s="329"/>
      <c r="B61" s="329"/>
      <c r="C61" s="329"/>
      <c r="D61" s="329"/>
      <c r="E61" s="329"/>
      <c r="F61" s="329"/>
      <c r="G61" s="329"/>
    </row>
    <row r="62" spans="1:7" x14ac:dyDescent="0.3">
      <c r="A62" s="330"/>
      <c r="B62" s="329"/>
      <c r="C62" s="329"/>
      <c r="D62" s="329"/>
      <c r="E62" s="329"/>
      <c r="F62" s="329"/>
      <c r="G62" s="329"/>
    </row>
    <row r="63" spans="1:7" x14ac:dyDescent="0.3">
      <c r="A63" s="329"/>
      <c r="B63" s="329"/>
      <c r="C63" s="329"/>
      <c r="D63" s="329"/>
      <c r="E63" s="329"/>
      <c r="F63" s="329"/>
      <c r="G63" s="329"/>
    </row>
    <row r="64" spans="1:7" x14ac:dyDescent="0.3">
      <c r="A64" s="329"/>
      <c r="B64" s="329"/>
      <c r="C64" s="329"/>
      <c r="D64" s="329"/>
      <c r="E64" s="329"/>
      <c r="F64" s="329"/>
      <c r="G64" s="329"/>
    </row>
  </sheetData>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F267-EB4A-4CF0-B149-26466ECFCF31}">
  <sheetPr>
    <tabColor theme="5" tint="0.39997558519241921"/>
  </sheetPr>
  <dimension ref="A1:C11"/>
  <sheetViews>
    <sheetView workbookViewId="0">
      <selection activeCell="O57" sqref="O57"/>
    </sheetView>
  </sheetViews>
  <sheetFormatPr defaultColWidth="8.88671875" defaultRowHeight="13.2" x14ac:dyDescent="0.25"/>
  <cols>
    <col min="1" max="1" width="27.44140625" style="335" bestFit="1" customWidth="1"/>
    <col min="2" max="3" width="8.88671875" style="337"/>
    <col min="4" max="16384" width="8.88671875" style="335"/>
  </cols>
  <sheetData>
    <row r="1" spans="1:3" x14ac:dyDescent="0.25">
      <c r="A1" s="335" t="s">
        <v>1187</v>
      </c>
      <c r="B1" s="337" t="s">
        <v>1186</v>
      </c>
      <c r="C1" s="337" t="s">
        <v>1185</v>
      </c>
    </row>
    <row r="2" spans="1:3" x14ac:dyDescent="0.25">
      <c r="A2" s="335" t="s">
        <v>1184</v>
      </c>
      <c r="B2" s="338" t="s">
        <v>1174</v>
      </c>
      <c r="C2" s="338" t="s">
        <v>1174</v>
      </c>
    </row>
    <row r="3" spans="1:3" x14ac:dyDescent="0.25">
      <c r="A3" s="335" t="s">
        <v>1183</v>
      </c>
      <c r="B3" s="338" t="s">
        <v>1174</v>
      </c>
      <c r="C3" s="338" t="s">
        <v>1174</v>
      </c>
    </row>
    <row r="4" spans="1:3" x14ac:dyDescent="0.25">
      <c r="A4" s="335" t="s">
        <v>1182</v>
      </c>
      <c r="B4" s="338" t="s">
        <v>1174</v>
      </c>
      <c r="C4" s="338" t="s">
        <v>1174</v>
      </c>
    </row>
    <row r="5" spans="1:3" x14ac:dyDescent="0.25">
      <c r="A5" s="335" t="s">
        <v>1181</v>
      </c>
      <c r="B5" s="338" t="s">
        <v>1174</v>
      </c>
      <c r="C5" s="338" t="s">
        <v>1174</v>
      </c>
    </row>
    <row r="6" spans="1:3" x14ac:dyDescent="0.25">
      <c r="A6" s="335" t="s">
        <v>1180</v>
      </c>
      <c r="B6" s="338" t="s">
        <v>1174</v>
      </c>
      <c r="C6" s="338" t="s">
        <v>1174</v>
      </c>
    </row>
    <row r="7" spans="1:3" x14ac:dyDescent="0.25">
      <c r="A7" s="335" t="s">
        <v>1179</v>
      </c>
      <c r="B7" s="338" t="s">
        <v>1174</v>
      </c>
      <c r="C7" s="338" t="s">
        <v>1174</v>
      </c>
    </row>
    <row r="8" spans="1:3" x14ac:dyDescent="0.25">
      <c r="A8" s="335" t="s">
        <v>1178</v>
      </c>
      <c r="B8" s="338" t="s">
        <v>1174</v>
      </c>
      <c r="C8" s="338" t="s">
        <v>1174</v>
      </c>
    </row>
    <row r="9" spans="1:3" x14ac:dyDescent="0.25">
      <c r="A9" s="335" t="s">
        <v>1177</v>
      </c>
      <c r="B9" s="338" t="s">
        <v>1174</v>
      </c>
      <c r="C9" s="338"/>
    </row>
    <row r="10" spans="1:3" x14ac:dyDescent="0.25">
      <c r="A10" s="335" t="s">
        <v>1176</v>
      </c>
      <c r="B10" s="338" t="s">
        <v>1174</v>
      </c>
      <c r="C10" s="338" t="s">
        <v>1174</v>
      </c>
    </row>
    <row r="11" spans="1:3" x14ac:dyDescent="0.25">
      <c r="A11" s="335" t="s">
        <v>1175</v>
      </c>
      <c r="B11" s="338" t="s">
        <v>1174</v>
      </c>
      <c r="C11" s="338" t="s">
        <v>1174</v>
      </c>
    </row>
  </sheetData>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7607B-143A-48A2-8938-628F20903D8A}">
  <sheetPr>
    <tabColor theme="9" tint="0.59999389629810485"/>
  </sheetPr>
  <dimension ref="A1:O64"/>
  <sheetViews>
    <sheetView zoomScaleNormal="100" workbookViewId="0">
      <selection activeCell="L52" sqref="L52"/>
    </sheetView>
  </sheetViews>
  <sheetFormatPr defaultColWidth="8.6640625" defaultRowHeight="15.6" x14ac:dyDescent="0.3"/>
  <cols>
    <col min="1" max="1" width="69.6640625" style="328" customWidth="1"/>
    <col min="2" max="2" width="18.109375" style="328" customWidth="1"/>
    <col min="3" max="3" width="24.6640625" style="328" bestFit="1" customWidth="1"/>
    <col min="4" max="4" width="16.6640625" style="328" bestFit="1" customWidth="1"/>
    <col min="5" max="5" width="26.6640625" style="328" bestFit="1" customWidth="1"/>
    <col min="6" max="10" width="18.33203125" style="328" customWidth="1"/>
    <col min="11" max="16384" width="8.6640625" style="328"/>
  </cols>
  <sheetData>
    <row r="1" spans="1:15" ht="22.8" x14ac:dyDescent="0.4">
      <c r="A1" s="336" t="s">
        <v>1173</v>
      </c>
      <c r="B1" s="331"/>
      <c r="C1" s="331"/>
      <c r="D1" s="331"/>
      <c r="E1" s="331"/>
      <c r="F1" s="331"/>
      <c r="G1" s="331"/>
      <c r="H1" s="331"/>
      <c r="I1" s="331"/>
      <c r="J1" s="331"/>
      <c r="K1" s="331"/>
      <c r="L1" s="331"/>
      <c r="M1" s="331"/>
      <c r="N1" s="331"/>
      <c r="O1" s="331"/>
    </row>
    <row r="2" spans="1:15" x14ac:dyDescent="0.3">
      <c r="A2" s="333" t="s">
        <v>1172</v>
      </c>
      <c r="B2" s="331"/>
      <c r="C2" s="331"/>
      <c r="D2" s="331"/>
      <c r="E2" s="331"/>
      <c r="F2" s="331"/>
      <c r="G2" s="331"/>
      <c r="H2" s="331"/>
      <c r="I2" s="331"/>
      <c r="J2" s="331"/>
      <c r="K2" s="331"/>
      <c r="L2" s="331"/>
      <c r="M2" s="331"/>
      <c r="N2" s="331"/>
      <c r="O2" s="331"/>
    </row>
    <row r="3" spans="1:15" x14ac:dyDescent="0.3">
      <c r="A3" s="331" t="s">
        <v>1171</v>
      </c>
      <c r="B3" s="331"/>
      <c r="C3" s="331"/>
      <c r="D3" s="331"/>
      <c r="E3" s="331"/>
      <c r="F3" s="331"/>
      <c r="G3" s="331"/>
      <c r="H3" s="331"/>
      <c r="I3" s="331"/>
      <c r="J3" s="331"/>
      <c r="K3" s="331"/>
      <c r="L3" s="331"/>
      <c r="M3" s="331"/>
      <c r="N3" s="331"/>
      <c r="O3" s="331"/>
    </row>
    <row r="4" spans="1:15" x14ac:dyDescent="0.3">
      <c r="A4" s="331" t="s">
        <v>1170</v>
      </c>
      <c r="B4" s="331"/>
      <c r="C4" s="331"/>
      <c r="D4" s="331"/>
      <c r="E4" s="331"/>
      <c r="F4" s="331"/>
      <c r="G4" s="331"/>
      <c r="H4" s="331"/>
      <c r="I4" s="331"/>
      <c r="J4" s="331"/>
      <c r="K4" s="331"/>
      <c r="L4" s="331"/>
      <c r="M4" s="331"/>
      <c r="N4" s="331"/>
      <c r="O4" s="331"/>
    </row>
    <row r="5" spans="1:15" x14ac:dyDescent="0.3">
      <c r="A5" s="331" t="s">
        <v>1169</v>
      </c>
      <c r="B5" s="331"/>
      <c r="C5" s="331"/>
      <c r="D5" s="331"/>
      <c r="E5" s="331"/>
      <c r="F5" s="331"/>
      <c r="G5" s="331"/>
      <c r="H5" s="331"/>
      <c r="I5" s="331"/>
      <c r="J5" s="331"/>
      <c r="K5" s="331"/>
      <c r="L5" s="331"/>
      <c r="M5" s="331"/>
      <c r="N5" s="331"/>
      <c r="O5" s="331"/>
    </row>
    <row r="6" spans="1:15" x14ac:dyDescent="0.3">
      <c r="A6" s="331" t="s">
        <v>1168</v>
      </c>
      <c r="B6" s="331"/>
      <c r="C6" s="331"/>
      <c r="D6" s="331"/>
      <c r="E6" s="331"/>
      <c r="F6" s="331"/>
      <c r="G6" s="331"/>
      <c r="H6" s="331"/>
      <c r="I6" s="331"/>
      <c r="J6" s="331"/>
      <c r="K6" s="331"/>
      <c r="L6" s="331"/>
      <c r="M6" s="331"/>
      <c r="N6" s="331"/>
      <c r="O6" s="331"/>
    </row>
    <row r="7" spans="1:15" x14ac:dyDescent="0.3">
      <c r="A7" s="331" t="s">
        <v>1167</v>
      </c>
      <c r="B7" s="331"/>
      <c r="C7" s="331"/>
      <c r="D7" s="331"/>
      <c r="E7" s="331"/>
      <c r="F7" s="331"/>
      <c r="G7" s="331"/>
      <c r="H7" s="331"/>
      <c r="I7" s="331"/>
      <c r="J7" s="331"/>
      <c r="K7" s="331"/>
      <c r="L7" s="331"/>
      <c r="M7" s="331"/>
      <c r="N7" s="331"/>
      <c r="O7" s="331"/>
    </row>
    <row r="8" spans="1:15" x14ac:dyDescent="0.3">
      <c r="A8" s="331" t="s">
        <v>1166</v>
      </c>
      <c r="B8" s="331"/>
      <c r="C8" s="331"/>
      <c r="D8" s="331"/>
      <c r="E8" s="331"/>
      <c r="F8" s="331"/>
      <c r="G8" s="331"/>
      <c r="H8" s="331"/>
      <c r="I8" s="331"/>
      <c r="J8" s="331"/>
      <c r="K8" s="331"/>
      <c r="L8" s="331"/>
      <c r="M8" s="331"/>
      <c r="N8" s="331"/>
      <c r="O8" s="331"/>
    </row>
    <row r="9" spans="1:15" x14ac:dyDescent="0.3">
      <c r="A9" s="331"/>
      <c r="B9" s="331"/>
      <c r="C9" s="331"/>
      <c r="D9" s="331"/>
      <c r="E9" s="331"/>
      <c r="F9" s="331"/>
      <c r="G9" s="331"/>
      <c r="H9" s="331"/>
      <c r="I9" s="331"/>
      <c r="J9" s="331"/>
      <c r="K9" s="331"/>
      <c r="L9" s="331"/>
      <c r="M9" s="331"/>
      <c r="N9" s="331"/>
      <c r="O9" s="331"/>
    </row>
    <row r="10" spans="1:15" x14ac:dyDescent="0.3">
      <c r="A10" s="331" t="s">
        <v>1165</v>
      </c>
      <c r="B10" s="331"/>
      <c r="C10" s="331"/>
      <c r="D10" s="331"/>
      <c r="E10" s="331"/>
      <c r="F10" s="331"/>
      <c r="G10" s="331"/>
      <c r="H10" s="331"/>
      <c r="I10" s="331"/>
      <c r="J10" s="331"/>
      <c r="K10" s="331"/>
      <c r="L10" s="331"/>
      <c r="M10" s="331"/>
      <c r="N10" s="331"/>
      <c r="O10" s="331"/>
    </row>
    <row r="11" spans="1:15" x14ac:dyDescent="0.3">
      <c r="A11" s="331"/>
      <c r="B11" s="331"/>
      <c r="C11" s="331"/>
      <c r="D11" s="331"/>
      <c r="E11" s="331"/>
      <c r="F11" s="331"/>
      <c r="G11" s="331"/>
      <c r="H11" s="331"/>
      <c r="I11" s="331"/>
      <c r="J11" s="331"/>
      <c r="K11" s="331"/>
      <c r="L11" s="331"/>
      <c r="M11" s="331"/>
      <c r="N11" s="331"/>
      <c r="O11" s="331"/>
    </row>
    <row r="12" spans="1:15" x14ac:dyDescent="0.3">
      <c r="A12" s="331" t="s">
        <v>1164</v>
      </c>
      <c r="B12" s="331"/>
      <c r="C12" s="331"/>
      <c r="D12" s="331"/>
      <c r="E12" s="331"/>
      <c r="F12" s="331"/>
      <c r="G12" s="331"/>
      <c r="H12" s="331"/>
      <c r="I12" s="331"/>
      <c r="J12" s="331"/>
      <c r="K12" s="331"/>
      <c r="L12" s="331"/>
      <c r="M12" s="331"/>
      <c r="N12" s="331"/>
      <c r="O12" s="331"/>
    </row>
    <row r="13" spans="1:15" x14ac:dyDescent="0.3">
      <c r="A13" s="331" t="s">
        <v>1163</v>
      </c>
      <c r="B13" s="331"/>
      <c r="C13" s="331"/>
      <c r="D13" s="331"/>
      <c r="E13" s="331"/>
      <c r="F13" s="331"/>
      <c r="G13" s="331"/>
      <c r="H13" s="331"/>
      <c r="I13" s="331"/>
      <c r="J13" s="331"/>
      <c r="K13" s="331"/>
      <c r="L13" s="331"/>
      <c r="M13" s="331"/>
      <c r="N13" s="331"/>
      <c r="O13" s="331"/>
    </row>
    <row r="14" spans="1:15" x14ac:dyDescent="0.3">
      <c r="A14" s="331" t="s">
        <v>1162</v>
      </c>
      <c r="B14" s="331"/>
      <c r="C14" s="331"/>
      <c r="D14" s="331"/>
      <c r="E14" s="331"/>
      <c r="F14" s="331"/>
      <c r="G14" s="331"/>
      <c r="H14" s="331"/>
      <c r="I14" s="331"/>
      <c r="J14" s="331"/>
      <c r="K14" s="331"/>
      <c r="L14" s="331"/>
      <c r="M14" s="331"/>
      <c r="N14" s="331"/>
      <c r="O14" s="331"/>
    </row>
    <row r="15" spans="1:15" x14ac:dyDescent="0.3">
      <c r="A15" s="331" t="s">
        <v>1161</v>
      </c>
      <c r="B15" s="331"/>
      <c r="C15" s="331"/>
      <c r="D15" s="331"/>
      <c r="E15" s="331"/>
      <c r="F15" s="331"/>
      <c r="G15" s="331"/>
      <c r="H15" s="331"/>
      <c r="I15" s="331"/>
      <c r="J15" s="331"/>
      <c r="K15" s="331"/>
      <c r="L15" s="331"/>
      <c r="M15" s="331"/>
      <c r="N15" s="331"/>
      <c r="O15" s="331"/>
    </row>
    <row r="16" spans="1:15" x14ac:dyDescent="0.3">
      <c r="A16" s="331"/>
      <c r="B16" s="331"/>
      <c r="C16" s="331"/>
      <c r="D16" s="331"/>
      <c r="E16" s="331"/>
      <c r="F16" s="331"/>
      <c r="G16" s="331"/>
      <c r="H16" s="331"/>
      <c r="I16" s="331"/>
      <c r="J16" s="331"/>
      <c r="K16" s="331"/>
      <c r="L16" s="331"/>
      <c r="M16" s="331"/>
      <c r="N16" s="331"/>
      <c r="O16" s="331"/>
    </row>
    <row r="17" spans="1:15" x14ac:dyDescent="0.3">
      <c r="A17" s="331" t="s">
        <v>1160</v>
      </c>
      <c r="B17" s="331"/>
      <c r="C17" s="331"/>
      <c r="D17" s="331"/>
      <c r="E17" s="331"/>
      <c r="F17" s="331"/>
      <c r="G17" s="331"/>
      <c r="H17" s="331"/>
      <c r="I17" s="331"/>
      <c r="J17" s="331"/>
      <c r="K17" s="331"/>
      <c r="L17" s="331"/>
      <c r="M17" s="331"/>
      <c r="N17" s="331"/>
      <c r="O17" s="331"/>
    </row>
    <row r="18" spans="1:15" x14ac:dyDescent="0.3">
      <c r="A18" s="331" t="s">
        <v>1159</v>
      </c>
      <c r="B18" s="331"/>
      <c r="C18" s="331"/>
      <c r="D18" s="331"/>
      <c r="E18" s="331"/>
      <c r="F18" s="331"/>
      <c r="G18" s="331"/>
      <c r="H18" s="331"/>
      <c r="I18" s="331"/>
      <c r="J18" s="331"/>
      <c r="K18" s="331"/>
      <c r="L18" s="331"/>
      <c r="M18" s="331"/>
      <c r="N18" s="331"/>
      <c r="O18" s="331"/>
    </row>
    <row r="19" spans="1:15" x14ac:dyDescent="0.3">
      <c r="A19" s="331"/>
      <c r="B19" s="331"/>
      <c r="C19" s="331"/>
      <c r="D19" s="331"/>
      <c r="E19" s="331"/>
      <c r="F19" s="331"/>
      <c r="G19" s="331"/>
      <c r="H19" s="331"/>
      <c r="I19" s="331"/>
      <c r="J19" s="331"/>
      <c r="K19" s="331"/>
      <c r="L19" s="331"/>
      <c r="M19" s="331"/>
      <c r="N19" s="331"/>
      <c r="O19" s="331"/>
    </row>
    <row r="20" spans="1:15" x14ac:dyDescent="0.3">
      <c r="A20" s="332" t="s">
        <v>1158</v>
      </c>
      <c r="B20" s="331"/>
      <c r="C20" s="331"/>
      <c r="D20" s="331"/>
      <c r="E20" s="331"/>
      <c r="F20" s="331"/>
      <c r="G20" s="331"/>
      <c r="H20" s="331"/>
      <c r="I20" s="331"/>
      <c r="J20" s="331"/>
      <c r="K20" s="331"/>
      <c r="L20" s="331"/>
      <c r="M20" s="331"/>
      <c r="N20" s="331"/>
      <c r="O20" s="331"/>
    </row>
    <row r="22" spans="1:15" s="335" customFormat="1" ht="13.2" x14ac:dyDescent="0.25">
      <c r="B22" s="335" t="s">
        <v>1186</v>
      </c>
      <c r="C22" s="335" t="s">
        <v>1185</v>
      </c>
      <c r="D22" s="335" t="s">
        <v>1297</v>
      </c>
      <c r="F22" s="335" t="s">
        <v>1296</v>
      </c>
    </row>
    <row r="23" spans="1:15" s="335" customFormat="1" ht="13.2" x14ac:dyDescent="0.25">
      <c r="A23" s="335" t="s">
        <v>1285</v>
      </c>
      <c r="B23" s="335">
        <v>0</v>
      </c>
      <c r="C23" s="335">
        <f>MIN((4*20000+12*300),226)</f>
        <v>226</v>
      </c>
      <c r="D23" s="335">
        <f>4*500+60*12</f>
        <v>2720</v>
      </c>
      <c r="F23" s="335" t="s">
        <v>1295</v>
      </c>
    </row>
    <row r="24" spans="1:15" s="335" customFormat="1" ht="13.2" x14ac:dyDescent="0.25">
      <c r="A24" s="335" t="s">
        <v>1283</v>
      </c>
      <c r="B24" s="335">
        <v>0</v>
      </c>
      <c r="C24" s="335">
        <f>MIN((2*100),226)</f>
        <v>200</v>
      </c>
      <c r="D24" s="335">
        <f>2*30</f>
        <v>60</v>
      </c>
    </row>
    <row r="31" spans="1:15" x14ac:dyDescent="0.3">
      <c r="A31" s="333" t="s">
        <v>1157</v>
      </c>
      <c r="B31" s="331"/>
      <c r="C31" s="331"/>
      <c r="D31" s="331"/>
      <c r="E31" s="331"/>
      <c r="F31" s="331"/>
      <c r="G31" s="331"/>
      <c r="H31" s="331"/>
      <c r="I31" s="331"/>
      <c r="J31" s="331"/>
      <c r="K31" s="331"/>
      <c r="L31" s="331"/>
      <c r="M31" s="331"/>
      <c r="N31" s="331"/>
      <c r="O31" s="331"/>
    </row>
    <row r="32" spans="1:15" x14ac:dyDescent="0.3">
      <c r="A32" s="331" t="s">
        <v>1156</v>
      </c>
      <c r="B32" s="331"/>
      <c r="C32" s="331"/>
      <c r="D32" s="334">
        <v>350</v>
      </c>
      <c r="E32" s="331"/>
      <c r="F32" s="331"/>
      <c r="G32" s="331"/>
      <c r="H32" s="331"/>
      <c r="I32" s="331"/>
      <c r="J32" s="331"/>
      <c r="K32" s="331"/>
      <c r="L32" s="331"/>
      <c r="M32" s="331"/>
      <c r="N32" s="331"/>
      <c r="O32" s="331"/>
    </row>
    <row r="33" spans="1:15" x14ac:dyDescent="0.3">
      <c r="A33" s="331" t="s">
        <v>1155</v>
      </c>
      <c r="B33" s="331"/>
      <c r="C33" s="331"/>
      <c r="D33" s="334">
        <v>335</v>
      </c>
      <c r="E33" s="331"/>
      <c r="F33" s="331"/>
      <c r="G33" s="331"/>
      <c r="H33" s="331"/>
      <c r="I33" s="331"/>
      <c r="J33" s="331"/>
      <c r="K33" s="331"/>
      <c r="L33" s="331"/>
      <c r="M33" s="331"/>
      <c r="N33" s="331"/>
      <c r="O33" s="331"/>
    </row>
    <row r="34" spans="1:15" x14ac:dyDescent="0.3">
      <c r="A34" s="331" t="s">
        <v>1154</v>
      </c>
      <c r="B34" s="331"/>
      <c r="C34" s="331"/>
      <c r="D34" s="334">
        <v>100</v>
      </c>
      <c r="E34" s="331"/>
      <c r="F34" s="331"/>
      <c r="G34" s="331"/>
      <c r="H34" s="331"/>
      <c r="I34" s="331"/>
      <c r="J34" s="331"/>
      <c r="K34" s="331"/>
      <c r="L34" s="331"/>
      <c r="M34" s="331"/>
      <c r="N34" s="331"/>
      <c r="O34" s="331"/>
    </row>
    <row r="35" spans="1:15" x14ac:dyDescent="0.3">
      <c r="A35" s="333"/>
      <c r="B35" s="331"/>
      <c r="C35" s="331"/>
      <c r="D35" s="331"/>
      <c r="E35" s="331"/>
      <c r="F35" s="331"/>
      <c r="G35" s="331"/>
      <c r="H35" s="331"/>
      <c r="I35" s="331"/>
      <c r="J35" s="331"/>
      <c r="K35" s="331"/>
      <c r="L35" s="331"/>
      <c r="M35" s="331"/>
      <c r="N35" s="331"/>
      <c r="O35" s="331"/>
    </row>
    <row r="36" spans="1:15" x14ac:dyDescent="0.3">
      <c r="A36" s="333" t="s">
        <v>1153</v>
      </c>
      <c r="B36" s="331"/>
      <c r="C36" s="331"/>
      <c r="D36" s="331"/>
      <c r="E36" s="331"/>
      <c r="F36" s="331"/>
      <c r="G36" s="331"/>
      <c r="H36" s="331"/>
      <c r="I36" s="331"/>
      <c r="J36" s="331"/>
      <c r="K36" s="331"/>
      <c r="L36" s="331"/>
      <c r="M36" s="331"/>
      <c r="N36" s="331"/>
      <c r="O36" s="331"/>
    </row>
    <row r="37" spans="1:15" x14ac:dyDescent="0.3">
      <c r="A37" s="333" t="s">
        <v>1152</v>
      </c>
      <c r="B37" s="331"/>
      <c r="C37" s="331"/>
      <c r="D37" s="331"/>
      <c r="E37" s="331"/>
      <c r="F37" s="331"/>
      <c r="G37" s="331"/>
      <c r="H37" s="331"/>
      <c r="I37" s="331"/>
      <c r="J37" s="331"/>
      <c r="K37" s="331"/>
      <c r="L37" s="331"/>
      <c r="M37" s="331"/>
      <c r="N37" s="331"/>
      <c r="O37" s="331"/>
    </row>
    <row r="38" spans="1:15" x14ac:dyDescent="0.3">
      <c r="A38" s="333"/>
      <c r="B38" s="331"/>
      <c r="C38" s="331"/>
      <c r="D38" s="331"/>
      <c r="E38" s="331"/>
      <c r="F38" s="331"/>
      <c r="G38" s="331"/>
      <c r="H38" s="331"/>
      <c r="I38" s="331"/>
      <c r="J38" s="331"/>
      <c r="K38" s="331"/>
      <c r="L38" s="331"/>
      <c r="M38" s="331"/>
      <c r="N38" s="331"/>
      <c r="O38" s="331"/>
    </row>
    <row r="39" spans="1:15" x14ac:dyDescent="0.3">
      <c r="A39" s="333" t="s">
        <v>1151</v>
      </c>
      <c r="B39" s="331"/>
      <c r="C39" s="331"/>
      <c r="D39" s="331"/>
      <c r="E39" s="331"/>
      <c r="F39" s="331"/>
      <c r="G39" s="331"/>
      <c r="H39" s="331"/>
      <c r="I39" s="331"/>
      <c r="J39" s="331"/>
      <c r="K39" s="331"/>
      <c r="L39" s="331"/>
      <c r="M39" s="331"/>
      <c r="N39" s="331"/>
      <c r="O39" s="331"/>
    </row>
    <row r="40" spans="1:15" x14ac:dyDescent="0.3">
      <c r="A40" s="333" t="s">
        <v>1150</v>
      </c>
      <c r="B40" s="331"/>
      <c r="C40" s="331"/>
      <c r="D40" s="331"/>
      <c r="E40" s="331"/>
      <c r="F40" s="331"/>
      <c r="G40" s="331"/>
      <c r="H40" s="331"/>
      <c r="I40" s="331"/>
      <c r="J40" s="331"/>
      <c r="K40" s="331"/>
      <c r="L40" s="331"/>
      <c r="M40" s="331"/>
      <c r="N40" s="331"/>
      <c r="O40" s="331"/>
    </row>
    <row r="41" spans="1:15" x14ac:dyDescent="0.3">
      <c r="A41" s="333"/>
      <c r="B41" s="331"/>
      <c r="C41" s="331"/>
      <c r="D41" s="331"/>
      <c r="E41" s="331"/>
      <c r="F41" s="331"/>
      <c r="G41" s="331"/>
      <c r="H41" s="331"/>
      <c r="I41" s="331"/>
      <c r="J41" s="331"/>
      <c r="K41" s="331"/>
      <c r="L41" s="331"/>
      <c r="M41" s="331"/>
      <c r="N41" s="331"/>
      <c r="O41" s="331"/>
    </row>
    <row r="42" spans="1:15" x14ac:dyDescent="0.3">
      <c r="A42" s="332" t="s">
        <v>1149</v>
      </c>
      <c r="B42" s="331"/>
      <c r="C42" s="331"/>
      <c r="D42" s="331"/>
      <c r="E42" s="331"/>
      <c r="F42" s="331"/>
      <c r="G42" s="331"/>
      <c r="H42" s="331"/>
      <c r="I42" s="331"/>
      <c r="J42" s="331"/>
      <c r="K42" s="331"/>
      <c r="L42" s="331"/>
      <c r="M42" s="331"/>
      <c r="N42" s="331"/>
      <c r="O42" s="331"/>
    </row>
    <row r="43" spans="1:15" x14ac:dyDescent="0.3">
      <c r="A43" s="332" t="s">
        <v>1148</v>
      </c>
      <c r="B43" s="331"/>
      <c r="C43" s="331"/>
      <c r="D43" s="331"/>
      <c r="E43" s="331"/>
      <c r="F43" s="331"/>
      <c r="G43" s="331"/>
      <c r="H43" s="331"/>
      <c r="I43" s="331"/>
      <c r="J43" s="331"/>
      <c r="K43" s="331"/>
      <c r="L43" s="331"/>
      <c r="M43" s="331"/>
      <c r="N43" s="331"/>
      <c r="O43" s="331"/>
    </row>
    <row r="46" spans="1:15" x14ac:dyDescent="0.3">
      <c r="A46" s="329"/>
      <c r="B46" s="329"/>
      <c r="C46" s="329"/>
      <c r="D46" s="329"/>
      <c r="E46" s="329"/>
      <c r="F46" s="329"/>
      <c r="G46" s="329"/>
      <c r="H46" s="329"/>
      <c r="I46" s="329"/>
      <c r="J46" s="329"/>
      <c r="K46" s="329"/>
      <c r="L46" s="329"/>
      <c r="M46" s="329"/>
    </row>
    <row r="47" spans="1:15" x14ac:dyDescent="0.3">
      <c r="A47" s="355" t="s">
        <v>1294</v>
      </c>
      <c r="B47" s="358" t="s">
        <v>1293</v>
      </c>
      <c r="C47" s="358" t="s">
        <v>1292</v>
      </c>
      <c r="D47" s="358" t="s">
        <v>1291</v>
      </c>
      <c r="E47" s="329"/>
      <c r="F47" s="329"/>
      <c r="G47" s="329"/>
      <c r="H47" s="329"/>
      <c r="I47" s="329"/>
      <c r="J47" s="329"/>
      <c r="K47" s="329"/>
      <c r="L47" s="329"/>
      <c r="M47" s="329"/>
    </row>
    <row r="48" spans="1:15" x14ac:dyDescent="0.3">
      <c r="A48" s="358" t="s">
        <v>1290</v>
      </c>
      <c r="B48" s="329"/>
      <c r="C48" s="354">
        <v>50</v>
      </c>
      <c r="D48" s="359">
        <f>C48*12</f>
        <v>600</v>
      </c>
      <c r="E48" s="329"/>
      <c r="F48" s="329"/>
      <c r="G48" s="329"/>
      <c r="H48" s="329"/>
      <c r="I48" s="329"/>
      <c r="J48" s="329"/>
      <c r="K48" s="329"/>
      <c r="L48" s="329"/>
      <c r="M48" s="329"/>
    </row>
    <row r="49" spans="1:13" x14ac:dyDescent="0.3">
      <c r="A49" s="358"/>
      <c r="B49" s="329"/>
      <c r="C49" s="354"/>
      <c r="D49" s="330"/>
      <c r="E49" s="329"/>
      <c r="F49" s="329"/>
      <c r="G49" s="329"/>
      <c r="H49" s="329"/>
      <c r="I49" s="329"/>
      <c r="J49" s="329"/>
      <c r="K49" s="329"/>
      <c r="L49" s="329"/>
      <c r="M49" s="329"/>
    </row>
    <row r="50" spans="1:13" x14ac:dyDescent="0.3">
      <c r="A50" s="358" t="s">
        <v>1094</v>
      </c>
      <c r="B50" s="329" t="s">
        <v>1289</v>
      </c>
      <c r="C50" s="354" t="s">
        <v>1288</v>
      </c>
      <c r="D50" s="330" t="s">
        <v>1287</v>
      </c>
      <c r="E50" s="329" t="s">
        <v>1286</v>
      </c>
      <c r="F50" s="329"/>
      <c r="G50" s="329"/>
      <c r="H50" s="329"/>
      <c r="I50" s="329"/>
      <c r="J50" s="329"/>
      <c r="K50" s="329"/>
      <c r="L50" s="329"/>
      <c r="M50" s="329"/>
    </row>
    <row r="51" spans="1:13" x14ac:dyDescent="0.3">
      <c r="A51" s="358" t="s">
        <v>1285</v>
      </c>
      <c r="B51" s="357">
        <v>0.2</v>
      </c>
      <c r="C51" s="354" t="s">
        <v>1284</v>
      </c>
      <c r="D51" s="330">
        <f>C23</f>
        <v>226</v>
      </c>
      <c r="E51" s="356">
        <f>D33*12</f>
        <v>4020</v>
      </c>
      <c r="F51" s="329"/>
      <c r="G51" s="329"/>
      <c r="H51" s="329"/>
      <c r="I51" s="329"/>
      <c r="J51" s="329"/>
      <c r="K51" s="329"/>
      <c r="L51" s="329"/>
      <c r="M51" s="329"/>
    </row>
    <row r="52" spans="1:13" x14ac:dyDescent="0.3">
      <c r="A52" s="358" t="s">
        <v>1283</v>
      </c>
      <c r="B52" s="357">
        <v>0.8</v>
      </c>
      <c r="C52" s="354" t="s">
        <v>1282</v>
      </c>
      <c r="D52" s="330">
        <f>D24</f>
        <v>60</v>
      </c>
      <c r="E52" s="356">
        <f>D34*12</f>
        <v>1200</v>
      </c>
      <c r="F52" s="329"/>
      <c r="G52" s="329"/>
      <c r="H52" s="329"/>
      <c r="I52" s="329"/>
      <c r="J52" s="329"/>
      <c r="K52" s="329"/>
      <c r="L52" s="329"/>
      <c r="M52" s="329"/>
    </row>
    <row r="53" spans="1:13" x14ac:dyDescent="0.3">
      <c r="A53" s="358"/>
      <c r="B53" s="357"/>
      <c r="C53" s="354"/>
      <c r="D53" s="330"/>
      <c r="E53" s="356"/>
      <c r="F53" s="329"/>
      <c r="G53" s="329"/>
      <c r="H53" s="329"/>
      <c r="I53" s="329"/>
      <c r="J53" s="329"/>
      <c r="K53" s="329"/>
      <c r="L53" s="329"/>
      <c r="M53" s="329"/>
    </row>
    <row r="54" spans="1:13" x14ac:dyDescent="0.3">
      <c r="A54" s="355" t="s">
        <v>1281</v>
      </c>
      <c r="B54" s="329"/>
      <c r="C54" s="354"/>
      <c r="D54" s="330"/>
      <c r="E54" s="329"/>
      <c r="F54" s="329"/>
      <c r="G54" s="329"/>
      <c r="H54" s="329"/>
      <c r="I54" s="329"/>
      <c r="J54" s="329"/>
      <c r="K54" s="329"/>
      <c r="L54" s="329"/>
      <c r="M54" s="329"/>
    </row>
    <row r="55" spans="1:13" x14ac:dyDescent="0.3">
      <c r="A55" s="355" t="s">
        <v>1280</v>
      </c>
      <c r="B55" s="329"/>
      <c r="C55" s="354"/>
      <c r="D55" s="330"/>
      <c r="E55" s="329"/>
      <c r="F55" s="329"/>
      <c r="G55" s="329"/>
      <c r="H55" s="329"/>
      <c r="I55" s="329"/>
      <c r="J55" s="329"/>
      <c r="K55" s="329"/>
      <c r="L55" s="329"/>
      <c r="M55" s="329"/>
    </row>
    <row r="56" spans="1:13" x14ac:dyDescent="0.3">
      <c r="A56" s="329"/>
      <c r="B56" s="329"/>
      <c r="C56" s="329"/>
      <c r="D56" s="329"/>
      <c r="E56" s="329"/>
      <c r="F56" s="329"/>
      <c r="G56" s="329"/>
      <c r="H56" s="329"/>
      <c r="I56" s="329"/>
      <c r="J56" s="329"/>
      <c r="K56" s="329"/>
      <c r="L56" s="329"/>
      <c r="M56" s="329"/>
    </row>
    <row r="57" spans="1:13" ht="31.5" customHeight="1" x14ac:dyDescent="0.3">
      <c r="A57" s="353" t="s">
        <v>1279</v>
      </c>
    </row>
    <row r="58" spans="1:13" ht="20.85" customHeight="1" x14ac:dyDescent="0.3">
      <c r="A58" s="353" t="s">
        <v>1278</v>
      </c>
    </row>
    <row r="59" spans="1:13" ht="20.85" customHeight="1" x14ac:dyDescent="0.3">
      <c r="A59" s="353" t="s">
        <v>1277</v>
      </c>
    </row>
    <row r="60" spans="1:13" ht="19.5" customHeight="1" x14ac:dyDescent="0.3">
      <c r="A60" s="353" t="s">
        <v>1276</v>
      </c>
    </row>
    <row r="61" spans="1:13" ht="16.2" thickBot="1" x14ac:dyDescent="0.35">
      <c r="A61" s="329"/>
      <c r="B61" s="329"/>
      <c r="C61" s="329"/>
      <c r="D61" s="329"/>
      <c r="E61" s="329"/>
      <c r="F61" s="329"/>
      <c r="G61" s="329"/>
      <c r="H61" s="329"/>
      <c r="I61" s="329"/>
      <c r="J61" s="329"/>
      <c r="K61" s="329"/>
      <c r="L61" s="329"/>
      <c r="M61" s="329"/>
    </row>
    <row r="62" spans="1:13" ht="16.2" thickBot="1" x14ac:dyDescent="0.35">
      <c r="A62" s="352" t="s">
        <v>1275</v>
      </c>
      <c r="B62" s="351" t="s">
        <v>1274</v>
      </c>
      <c r="C62" s="350">
        <v>123.83333333333336</v>
      </c>
      <c r="D62" s="329"/>
      <c r="E62" s="329"/>
      <c r="F62" s="330"/>
      <c r="G62" s="330"/>
      <c r="H62" s="329"/>
      <c r="I62" s="329"/>
      <c r="J62" s="329"/>
      <c r="K62" s="329"/>
      <c r="L62" s="329"/>
      <c r="M62" s="329"/>
    </row>
    <row r="63" spans="1:13" x14ac:dyDescent="0.3">
      <c r="A63" s="329"/>
      <c r="B63" s="329"/>
      <c r="C63" s="329"/>
      <c r="D63" s="329"/>
      <c r="E63" s="329"/>
      <c r="F63" s="329"/>
      <c r="G63" s="329"/>
      <c r="H63" s="329"/>
      <c r="I63" s="329"/>
      <c r="J63" s="329"/>
      <c r="K63" s="329"/>
      <c r="L63" s="329"/>
      <c r="M63" s="329"/>
    </row>
    <row r="64" spans="1:13" x14ac:dyDescent="0.3">
      <c r="A64" s="329"/>
      <c r="B64" s="329"/>
      <c r="C64" s="329"/>
      <c r="D64" s="329"/>
      <c r="E64" s="329"/>
      <c r="F64" s="329"/>
      <c r="G64" s="329"/>
      <c r="H64" s="329"/>
      <c r="I64" s="329"/>
      <c r="J64" s="329"/>
      <c r="K64" s="329"/>
      <c r="L64" s="329"/>
      <c r="M64" s="329"/>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E1603-0164-4C83-810F-B43E4FA3D516}">
  <sheetPr>
    <tabColor theme="5" tint="0.39997558519241921"/>
  </sheetPr>
  <dimension ref="A1:T265"/>
  <sheetViews>
    <sheetView workbookViewId="0">
      <selection activeCell="A47" sqref="A47"/>
    </sheetView>
  </sheetViews>
  <sheetFormatPr defaultColWidth="9.21875" defaultRowHeight="14.4" outlineLevelRow="1" x14ac:dyDescent="0.3"/>
  <cols>
    <col min="1" max="2" width="9.21875" style="264"/>
    <col min="3" max="18" width="12.109375" style="264" customWidth="1"/>
    <col min="19" max="16384" width="9.21875" style="264"/>
  </cols>
  <sheetData>
    <row r="1" spans="1:19" ht="15" thickBot="1" x14ac:dyDescent="0.35">
      <c r="A1" s="264" t="s">
        <v>1228</v>
      </c>
      <c r="J1" s="10" t="s">
        <v>16</v>
      </c>
      <c r="K1" s="280"/>
    </row>
    <row r="2" spans="1:19" x14ac:dyDescent="0.3">
      <c r="J2" s="279" t="s">
        <v>15</v>
      </c>
      <c r="K2" s="279"/>
    </row>
    <row r="3" spans="1:19" ht="15" thickBot="1" x14ac:dyDescent="0.35">
      <c r="J3" s="7" t="s">
        <v>14</v>
      </c>
      <c r="K3" s="7"/>
    </row>
    <row r="4" spans="1:19" ht="15.6" thickTop="1" thickBot="1" x14ac:dyDescent="0.35">
      <c r="J4" s="6" t="s">
        <v>13</v>
      </c>
      <c r="K4" s="6"/>
    </row>
    <row r="5" spans="1:19" ht="15" thickTop="1" x14ac:dyDescent="0.3">
      <c r="J5" s="278" t="s">
        <v>12</v>
      </c>
      <c r="K5" s="277"/>
    </row>
    <row r="9" spans="1:19" ht="15" thickBot="1" x14ac:dyDescent="0.35"/>
    <row r="10" spans="1:19" ht="15" thickBot="1" x14ac:dyDescent="0.35">
      <c r="C10" s="399" t="s">
        <v>3</v>
      </c>
      <c r="D10" s="400"/>
      <c r="E10" s="400"/>
      <c r="F10" s="401"/>
      <c r="G10" s="39"/>
      <c r="H10" s="39"/>
      <c r="I10" s="39"/>
      <c r="J10" s="39"/>
      <c r="K10" s="39"/>
      <c r="L10" s="39"/>
      <c r="M10" s="39"/>
      <c r="N10" s="39"/>
      <c r="O10" s="39"/>
      <c r="P10" s="39"/>
      <c r="Q10" s="39"/>
      <c r="R10" s="39"/>
      <c r="S10" s="39"/>
    </row>
    <row r="12" spans="1:19" x14ac:dyDescent="0.3">
      <c r="C12" s="264" t="s">
        <v>1227</v>
      </c>
    </row>
    <row r="14" spans="1:19" x14ac:dyDescent="0.3">
      <c r="D14" s="264" t="s">
        <v>1226</v>
      </c>
    </row>
    <row r="15" spans="1:19" x14ac:dyDescent="0.3">
      <c r="C15" s="302">
        <v>3000000</v>
      </c>
      <c r="D15" s="264" t="s">
        <v>1225</v>
      </c>
    </row>
    <row r="16" spans="1:19" x14ac:dyDescent="0.3">
      <c r="C16" s="302">
        <v>150000000</v>
      </c>
      <c r="D16" s="264" t="s">
        <v>1224</v>
      </c>
    </row>
    <row r="17" spans="3:6" x14ac:dyDescent="0.3">
      <c r="C17" s="344">
        <v>0.1</v>
      </c>
    </row>
    <row r="19" spans="3:6" x14ac:dyDescent="0.3">
      <c r="C19" s="264" t="s">
        <v>1223</v>
      </c>
    </row>
    <row r="20" spans="3:6" x14ac:dyDescent="0.3">
      <c r="C20" s="342">
        <v>45292</v>
      </c>
    </row>
    <row r="21" spans="3:6" x14ac:dyDescent="0.3">
      <c r="C21" s="343">
        <v>1000</v>
      </c>
      <c r="D21" s="264" t="s">
        <v>1222</v>
      </c>
    </row>
    <row r="22" spans="3:6" x14ac:dyDescent="0.3">
      <c r="C22" s="264">
        <v>40</v>
      </c>
      <c r="D22" s="264" t="s">
        <v>1221</v>
      </c>
    </row>
    <row r="23" spans="3:6" x14ac:dyDescent="0.3">
      <c r="C23" s="342">
        <v>43465</v>
      </c>
      <c r="D23" s="264" t="s">
        <v>1220</v>
      </c>
    </row>
    <row r="24" spans="3:6" x14ac:dyDescent="0.3">
      <c r="D24" s="264" t="s">
        <v>1219</v>
      </c>
    </row>
    <row r="25" spans="3:6" x14ac:dyDescent="0.3">
      <c r="D25" s="264" t="s">
        <v>1218</v>
      </c>
    </row>
    <row r="27" spans="3:6" x14ac:dyDescent="0.3">
      <c r="C27" s="264" t="s">
        <v>1217</v>
      </c>
    </row>
    <row r="29" spans="3:6" x14ac:dyDescent="0.3">
      <c r="C29" s="341"/>
      <c r="D29" s="341" t="s">
        <v>1216</v>
      </c>
      <c r="E29" s="341" t="s">
        <v>1215</v>
      </c>
      <c r="F29" s="341"/>
    </row>
    <row r="30" spans="3:6" x14ac:dyDescent="0.3">
      <c r="C30" s="341" t="s">
        <v>1214</v>
      </c>
      <c r="D30" s="341">
        <v>3500</v>
      </c>
      <c r="E30" s="341">
        <v>1000</v>
      </c>
      <c r="F30" s="341"/>
    </row>
    <row r="31" spans="3:6" x14ac:dyDescent="0.3">
      <c r="C31" s="341" t="s">
        <v>1213</v>
      </c>
      <c r="D31" s="341" t="s">
        <v>1212</v>
      </c>
      <c r="E31" s="341" t="s">
        <v>1212</v>
      </c>
      <c r="F31" s="341"/>
    </row>
    <row r="33" spans="3:20" x14ac:dyDescent="0.3">
      <c r="C33" s="264" t="s">
        <v>1211</v>
      </c>
    </row>
    <row r="35" spans="3:20" x14ac:dyDescent="0.3">
      <c r="C35" s="264" t="s">
        <v>1210</v>
      </c>
    </row>
    <row r="36" spans="3:20" x14ac:dyDescent="0.3">
      <c r="C36" s="264" t="s">
        <v>1209</v>
      </c>
    </row>
    <row r="37" spans="3:20" x14ac:dyDescent="0.3">
      <c r="C37" s="264" t="s">
        <v>1208</v>
      </c>
    </row>
    <row r="38" spans="3:20" x14ac:dyDescent="0.3">
      <c r="C38" s="264" t="s">
        <v>1207</v>
      </c>
    </row>
    <row r="39" spans="3:20" x14ac:dyDescent="0.3">
      <c r="C39" s="264" t="s">
        <v>1206</v>
      </c>
    </row>
    <row r="40" spans="3:20" ht="15" thickBot="1" x14ac:dyDescent="0.35"/>
    <row r="41" spans="3:20" ht="15" thickBot="1" x14ac:dyDescent="0.35">
      <c r="C41" s="399" t="s">
        <v>10</v>
      </c>
      <c r="D41" s="400"/>
      <c r="E41" s="400"/>
      <c r="F41" s="400"/>
      <c r="G41" s="400"/>
      <c r="H41" s="400"/>
      <c r="I41" s="400"/>
      <c r="J41" s="400"/>
      <c r="K41" s="400"/>
      <c r="L41" s="400"/>
      <c r="M41" s="400"/>
      <c r="N41" s="400"/>
      <c r="O41" s="400"/>
      <c r="P41" s="400"/>
      <c r="Q41" s="400"/>
      <c r="R41" s="400"/>
      <c r="S41" s="400"/>
      <c r="T41" s="401"/>
    </row>
    <row r="43" spans="3:20" x14ac:dyDescent="0.3">
      <c r="C43" s="123" t="s">
        <v>1205</v>
      </c>
    </row>
    <row r="44" spans="3:20" ht="57.6" x14ac:dyDescent="0.3">
      <c r="C44" s="340" t="s">
        <v>291</v>
      </c>
      <c r="D44" s="340" t="s">
        <v>7</v>
      </c>
      <c r="E44" s="340" t="s">
        <v>1095</v>
      </c>
      <c r="F44" s="340" t="s">
        <v>1201</v>
      </c>
      <c r="G44" s="340" t="s">
        <v>1200</v>
      </c>
      <c r="H44" s="340" t="s">
        <v>1199</v>
      </c>
      <c r="I44" s="340" t="s">
        <v>1198</v>
      </c>
      <c r="J44" s="340" t="s">
        <v>1197</v>
      </c>
      <c r="K44" s="340" t="s">
        <v>1196</v>
      </c>
      <c r="L44" s="340" t="s">
        <v>1195</v>
      </c>
      <c r="M44" s="340" t="s">
        <v>1194</v>
      </c>
      <c r="N44" s="340" t="s">
        <v>1193</v>
      </c>
      <c r="O44" s="340" t="s">
        <v>1192</v>
      </c>
      <c r="P44" s="340" t="s">
        <v>1191</v>
      </c>
      <c r="Q44" s="340" t="s">
        <v>1190</v>
      </c>
      <c r="R44" s="340" t="s">
        <v>1189</v>
      </c>
    </row>
    <row r="45" spans="3:20" hidden="1" outlineLevel="1" x14ac:dyDescent="0.3">
      <c r="C45" s="307">
        <v>2024</v>
      </c>
      <c r="D45" s="307">
        <v>40</v>
      </c>
      <c r="E45" s="307">
        <v>5</v>
      </c>
      <c r="F45" s="307">
        <v>0</v>
      </c>
      <c r="G45" s="307">
        <v>0</v>
      </c>
      <c r="H45" s="307">
        <v>0.97590007294853309</v>
      </c>
      <c r="I45" s="307">
        <v>0.47760556926165926</v>
      </c>
      <c r="J45" s="307">
        <v>1</v>
      </c>
      <c r="K45" s="339">
        <v>15000</v>
      </c>
      <c r="L45" s="339">
        <v>7164.0835389248887</v>
      </c>
      <c r="M45" s="339">
        <v>0</v>
      </c>
      <c r="N45" s="339">
        <v>0</v>
      </c>
      <c r="O45" s="339">
        <v>3500</v>
      </c>
      <c r="P45" s="339">
        <v>3500</v>
      </c>
      <c r="Q45" s="339">
        <v>0</v>
      </c>
      <c r="R45" s="339">
        <v>0</v>
      </c>
    </row>
    <row r="46" spans="3:20" hidden="1" outlineLevel="1" x14ac:dyDescent="0.3">
      <c r="C46" s="307">
        <v>2025</v>
      </c>
      <c r="D46" s="307">
        <v>41</v>
      </c>
      <c r="E46" s="307">
        <v>6</v>
      </c>
      <c r="F46" s="307">
        <v>0</v>
      </c>
      <c r="G46" s="307">
        <v>0</v>
      </c>
      <c r="H46" s="307">
        <v>0.92942864090336486</v>
      </c>
      <c r="I46" s="307">
        <v>0.49193373633950904</v>
      </c>
      <c r="J46" s="307">
        <v>1.075</v>
      </c>
      <c r="K46" s="339">
        <v>15000</v>
      </c>
      <c r="L46" s="339">
        <v>7932.4314984745833</v>
      </c>
      <c r="M46" s="339">
        <v>0</v>
      </c>
      <c r="N46" s="339">
        <v>0</v>
      </c>
      <c r="O46" s="339">
        <v>3500</v>
      </c>
      <c r="P46" s="339">
        <v>3500</v>
      </c>
      <c r="Q46" s="339">
        <v>0</v>
      </c>
      <c r="R46" s="339">
        <v>0</v>
      </c>
    </row>
    <row r="47" spans="3:20" hidden="1" outlineLevel="1" x14ac:dyDescent="0.3">
      <c r="C47" s="307">
        <v>2026</v>
      </c>
      <c r="D47" s="307">
        <v>42</v>
      </c>
      <c r="E47" s="307">
        <v>7</v>
      </c>
      <c r="F47" s="307">
        <v>0</v>
      </c>
      <c r="G47" s="307">
        <v>0</v>
      </c>
      <c r="H47" s="307">
        <v>0.88517013419368074</v>
      </c>
      <c r="I47" s="307">
        <v>0.50669174842969433</v>
      </c>
      <c r="J47" s="307">
        <v>1.1529374999999999</v>
      </c>
      <c r="K47" s="339">
        <v>15000</v>
      </c>
      <c r="L47" s="339">
        <v>8762.7587655774114</v>
      </c>
      <c r="M47" s="339">
        <v>0</v>
      </c>
      <c r="N47" s="339">
        <v>0</v>
      </c>
      <c r="O47" s="339">
        <v>3500</v>
      </c>
      <c r="P47" s="339">
        <v>3500</v>
      </c>
      <c r="Q47" s="339">
        <v>0</v>
      </c>
      <c r="R47" s="339">
        <v>0</v>
      </c>
    </row>
    <row r="48" spans="3:20" hidden="1" outlineLevel="1" x14ac:dyDescent="0.3">
      <c r="C48" s="307">
        <v>2027</v>
      </c>
      <c r="D48" s="307">
        <v>43</v>
      </c>
      <c r="E48" s="307">
        <v>8</v>
      </c>
      <c r="F48" s="307">
        <v>0</v>
      </c>
      <c r="G48" s="307">
        <v>0</v>
      </c>
      <c r="H48" s="307">
        <v>0.843019175422553</v>
      </c>
      <c r="I48" s="307">
        <v>0.52189250088258521</v>
      </c>
      <c r="J48" s="307">
        <v>1.233643125</v>
      </c>
      <c r="K48" s="339">
        <v>15000</v>
      </c>
      <c r="L48" s="339">
        <v>9657.4364355428643</v>
      </c>
      <c r="M48" s="339">
        <v>0</v>
      </c>
      <c r="N48" s="339">
        <v>0</v>
      </c>
      <c r="O48" s="339">
        <v>3500</v>
      </c>
      <c r="P48" s="339">
        <v>3500</v>
      </c>
      <c r="Q48" s="339">
        <v>0</v>
      </c>
      <c r="R48" s="339">
        <v>0</v>
      </c>
    </row>
    <row r="49" spans="3:18" hidden="1" outlineLevel="1" x14ac:dyDescent="0.3">
      <c r="C49" s="307">
        <v>2028</v>
      </c>
      <c r="D49" s="307">
        <v>44</v>
      </c>
      <c r="E49" s="307">
        <v>9</v>
      </c>
      <c r="F49" s="307">
        <v>0</v>
      </c>
      <c r="G49" s="307">
        <v>0</v>
      </c>
      <c r="H49" s="307">
        <v>0.8028754051643362</v>
      </c>
      <c r="I49" s="307">
        <v>0.53754927590906276</v>
      </c>
      <c r="J49" s="307">
        <v>1.3169140359374998</v>
      </c>
      <c r="K49" s="339">
        <v>15000</v>
      </c>
      <c r="L49" s="339">
        <v>10618.592796790266</v>
      </c>
      <c r="M49" s="339">
        <v>0</v>
      </c>
      <c r="N49" s="339">
        <v>0</v>
      </c>
      <c r="O49" s="339">
        <v>3500</v>
      </c>
      <c r="P49" s="339">
        <v>3500</v>
      </c>
      <c r="Q49" s="339">
        <v>0</v>
      </c>
      <c r="R49" s="339">
        <v>0</v>
      </c>
    </row>
    <row r="50" spans="3:18" hidden="1" outlineLevel="1" x14ac:dyDescent="0.3">
      <c r="C50" s="307">
        <v>2029</v>
      </c>
      <c r="D50" s="307">
        <v>45</v>
      </c>
      <c r="E50" s="307">
        <v>10</v>
      </c>
      <c r="F50" s="307">
        <v>0</v>
      </c>
      <c r="G50" s="307">
        <v>0</v>
      </c>
      <c r="H50" s="307">
        <v>0.7646432430136535</v>
      </c>
      <c r="I50" s="307">
        <v>0.55367575418633463</v>
      </c>
      <c r="J50" s="307">
        <v>1.4025134482734372</v>
      </c>
      <c r="K50" s="339">
        <v>15000</v>
      </c>
      <c r="L50" s="339">
        <v>11648.065368439082</v>
      </c>
      <c r="M50" s="339">
        <v>0</v>
      </c>
      <c r="N50" s="339">
        <v>0</v>
      </c>
      <c r="O50" s="339">
        <v>3500</v>
      </c>
      <c r="P50" s="339">
        <v>3500</v>
      </c>
      <c r="Q50" s="339">
        <v>0</v>
      </c>
      <c r="R50" s="339">
        <v>0</v>
      </c>
    </row>
    <row r="51" spans="3:18" hidden="1" outlineLevel="1" x14ac:dyDescent="0.3">
      <c r="C51" s="307">
        <v>2030</v>
      </c>
      <c r="D51" s="307">
        <v>46</v>
      </c>
      <c r="E51" s="307">
        <v>11</v>
      </c>
      <c r="F51" s="307">
        <v>0</v>
      </c>
      <c r="G51" s="307">
        <v>0</v>
      </c>
      <c r="H51" s="307">
        <v>0.72823166001300332</v>
      </c>
      <c r="I51" s="307">
        <v>0.57028602681192464</v>
      </c>
      <c r="J51" s="307">
        <v>1.4901705387905271</v>
      </c>
      <c r="K51" s="339">
        <v>15000</v>
      </c>
      <c r="L51" s="339">
        <v>12747.351537585522</v>
      </c>
      <c r="M51" s="339">
        <v>0</v>
      </c>
      <c r="N51" s="339">
        <v>0</v>
      </c>
      <c r="O51" s="339">
        <v>3500</v>
      </c>
      <c r="P51" s="339">
        <v>3500</v>
      </c>
      <c r="Q51" s="339">
        <v>0</v>
      </c>
      <c r="R51" s="339">
        <v>0</v>
      </c>
    </row>
    <row r="52" spans="3:18" hidden="1" outlineLevel="1" x14ac:dyDescent="0.3">
      <c r="C52" s="307">
        <v>2031</v>
      </c>
      <c r="D52" s="307">
        <v>47</v>
      </c>
      <c r="E52" s="307">
        <v>12</v>
      </c>
      <c r="F52" s="307">
        <v>0</v>
      </c>
      <c r="G52" s="307">
        <v>0</v>
      </c>
      <c r="H52" s="307">
        <v>0.69355396191714602</v>
      </c>
      <c r="I52" s="307">
        <v>0.58739460761628237</v>
      </c>
      <c r="J52" s="307">
        <v>1.5795807711179588</v>
      </c>
      <c r="K52" s="339">
        <v>15000</v>
      </c>
      <c r="L52" s="339">
        <v>13917.558408735873</v>
      </c>
      <c r="M52" s="339">
        <v>0</v>
      </c>
      <c r="N52" s="339">
        <v>0</v>
      </c>
      <c r="O52" s="339">
        <v>3500</v>
      </c>
      <c r="P52" s="339">
        <v>3500</v>
      </c>
      <c r="Q52" s="339">
        <v>0</v>
      </c>
      <c r="R52" s="339">
        <v>0</v>
      </c>
    </row>
    <row r="53" spans="3:18" hidden="1" outlineLevel="1" x14ac:dyDescent="0.3">
      <c r="C53" s="307">
        <v>2032</v>
      </c>
      <c r="D53" s="307">
        <v>48</v>
      </c>
      <c r="E53" s="307">
        <v>13</v>
      </c>
      <c r="F53" s="307">
        <v>0</v>
      </c>
      <c r="G53" s="307">
        <v>0</v>
      </c>
      <c r="H53" s="307">
        <v>0.66052758277823431</v>
      </c>
      <c r="I53" s="307">
        <v>0.60501644584477088</v>
      </c>
      <c r="J53" s="307">
        <v>1.6704066654572411</v>
      </c>
      <c r="K53" s="339">
        <v>15000</v>
      </c>
      <c r="L53" s="339">
        <v>15159.352557755328</v>
      </c>
      <c r="M53" s="339">
        <v>0</v>
      </c>
      <c r="N53" s="339">
        <v>0</v>
      </c>
      <c r="O53" s="339">
        <v>3500</v>
      </c>
      <c r="P53" s="339">
        <v>3500</v>
      </c>
      <c r="Q53" s="339">
        <v>0</v>
      </c>
      <c r="R53" s="339">
        <v>0</v>
      </c>
    </row>
    <row r="54" spans="3:18" hidden="1" outlineLevel="1" x14ac:dyDescent="0.3">
      <c r="C54" s="307">
        <v>2033</v>
      </c>
      <c r="D54" s="307">
        <v>49</v>
      </c>
      <c r="E54" s="307">
        <v>14</v>
      </c>
      <c r="F54" s="307">
        <v>0</v>
      </c>
      <c r="G54" s="307">
        <v>0</v>
      </c>
      <c r="H54" s="307">
        <v>0.62907388836022315</v>
      </c>
      <c r="I54" s="307">
        <v>0.62316693922011401</v>
      </c>
      <c r="J54" s="307">
        <v>1.7622790320573893</v>
      </c>
      <c r="K54" s="339">
        <v>15000</v>
      </c>
      <c r="L54" s="339">
        <v>16472.910456884827</v>
      </c>
      <c r="M54" s="339">
        <v>0</v>
      </c>
      <c r="N54" s="339">
        <v>0</v>
      </c>
      <c r="O54" s="339">
        <v>3500</v>
      </c>
      <c r="P54" s="339">
        <v>3500</v>
      </c>
      <c r="Q54" s="339">
        <v>0</v>
      </c>
      <c r="R54" s="339">
        <v>0</v>
      </c>
    </row>
    <row r="55" spans="3:18" hidden="1" outlineLevel="1" x14ac:dyDescent="0.3">
      <c r="C55" s="307">
        <v>2034</v>
      </c>
      <c r="D55" s="307">
        <v>50</v>
      </c>
      <c r="E55" s="307">
        <v>15</v>
      </c>
      <c r="F55" s="307">
        <v>0</v>
      </c>
      <c r="G55" s="307">
        <v>0</v>
      </c>
      <c r="H55" s="307">
        <v>0.59911798891449819</v>
      </c>
      <c r="I55" s="307">
        <v>0.64186194739671742</v>
      </c>
      <c r="J55" s="307">
        <v>1.8547986812404023</v>
      </c>
      <c r="K55" s="339">
        <v>15000</v>
      </c>
      <c r="L55" s="339">
        <v>17857.870403547418</v>
      </c>
      <c r="M55" s="339">
        <v>0</v>
      </c>
      <c r="N55" s="339">
        <v>0</v>
      </c>
      <c r="O55" s="339">
        <v>3500</v>
      </c>
      <c r="P55" s="339">
        <v>3500</v>
      </c>
      <c r="Q55" s="339">
        <v>0</v>
      </c>
      <c r="R55" s="339">
        <v>0</v>
      </c>
    </row>
    <row r="56" spans="3:18" hidden="1" outlineLevel="1" x14ac:dyDescent="0.3">
      <c r="C56" s="307">
        <v>2035</v>
      </c>
      <c r="D56" s="307">
        <v>51</v>
      </c>
      <c r="E56" s="307">
        <v>16</v>
      </c>
      <c r="F56" s="307">
        <v>0</v>
      </c>
      <c r="G56" s="307">
        <v>0</v>
      </c>
      <c r="H56" s="307">
        <v>0.57058856087095067</v>
      </c>
      <c r="I56" s="307">
        <v>0.66111780581861901</v>
      </c>
      <c r="J56" s="307">
        <v>1.9475386153024226</v>
      </c>
      <c r="K56" s="339">
        <v>15000</v>
      </c>
      <c r="L56" s="339">
        <v>19313.286841436537</v>
      </c>
      <c r="M56" s="339">
        <v>0</v>
      </c>
      <c r="N56" s="339">
        <v>0</v>
      </c>
      <c r="O56" s="339">
        <v>3500</v>
      </c>
      <c r="P56" s="339">
        <v>3500</v>
      </c>
      <c r="Q56" s="339">
        <v>0</v>
      </c>
      <c r="R56" s="339">
        <v>0</v>
      </c>
    </row>
    <row r="57" spans="3:18" hidden="1" outlineLevel="1" x14ac:dyDescent="0.3">
      <c r="C57" s="307">
        <v>2036</v>
      </c>
      <c r="D57" s="307">
        <v>52</v>
      </c>
      <c r="E57" s="307">
        <v>17</v>
      </c>
      <c r="F57" s="307">
        <v>0</v>
      </c>
      <c r="G57" s="307">
        <v>0</v>
      </c>
      <c r="H57" s="307">
        <v>0.54341767701995303</v>
      </c>
      <c r="I57" s="307">
        <v>0.68095133999317758</v>
      </c>
      <c r="J57" s="307">
        <v>2.0449155460675437</v>
      </c>
      <c r="K57" s="339">
        <v>15000</v>
      </c>
      <c r="L57" s="339">
        <v>20887.319719013616</v>
      </c>
      <c r="M57" s="339">
        <v>0</v>
      </c>
      <c r="N57" s="339">
        <v>0</v>
      </c>
      <c r="O57" s="339">
        <v>3500</v>
      </c>
      <c r="P57" s="339">
        <v>3500</v>
      </c>
      <c r="Q57" s="339">
        <v>0</v>
      </c>
      <c r="R57" s="339">
        <v>0</v>
      </c>
    </row>
    <row r="58" spans="3:18" hidden="1" outlineLevel="1" x14ac:dyDescent="0.3">
      <c r="C58" s="307">
        <v>2037</v>
      </c>
      <c r="D58" s="307">
        <v>53</v>
      </c>
      <c r="E58" s="307">
        <v>18</v>
      </c>
      <c r="F58" s="307">
        <v>0</v>
      </c>
      <c r="G58" s="307">
        <v>0</v>
      </c>
      <c r="H58" s="307">
        <v>0.51754064478090767</v>
      </c>
      <c r="I58" s="307">
        <v>0.70137988019297293</v>
      </c>
      <c r="J58" s="307">
        <v>2.1471613233709208</v>
      </c>
      <c r="K58" s="339">
        <v>15000</v>
      </c>
      <c r="L58" s="339">
        <v>22589.636276113226</v>
      </c>
      <c r="M58" s="339">
        <v>0</v>
      </c>
      <c r="N58" s="339">
        <v>0</v>
      </c>
      <c r="O58" s="339">
        <v>3500</v>
      </c>
      <c r="P58" s="339">
        <v>3500</v>
      </c>
      <c r="Q58" s="339">
        <v>0</v>
      </c>
      <c r="R58" s="339">
        <v>0</v>
      </c>
    </row>
    <row r="59" spans="3:18" hidden="1" outlineLevel="1" x14ac:dyDescent="0.3">
      <c r="C59" s="307">
        <v>2038</v>
      </c>
      <c r="D59" s="307">
        <v>54</v>
      </c>
      <c r="E59" s="307">
        <v>19</v>
      </c>
      <c r="F59" s="307">
        <v>0</v>
      </c>
      <c r="G59" s="307">
        <v>0</v>
      </c>
      <c r="H59" s="307">
        <v>0.49289585217229298</v>
      </c>
      <c r="I59" s="307">
        <v>0.7224212765987621</v>
      </c>
      <c r="J59" s="307">
        <v>2.2545193895394671</v>
      </c>
      <c r="K59" s="339">
        <v>15000</v>
      </c>
      <c r="L59" s="339">
        <v>24430.691632616454</v>
      </c>
      <c r="M59" s="339">
        <v>0</v>
      </c>
      <c r="N59" s="339">
        <v>0</v>
      </c>
      <c r="O59" s="339">
        <v>3500</v>
      </c>
      <c r="P59" s="339">
        <v>3500</v>
      </c>
      <c r="Q59" s="339">
        <v>0</v>
      </c>
      <c r="R59" s="339">
        <v>0</v>
      </c>
    </row>
    <row r="60" spans="3:18" hidden="1" outlineLevel="1" x14ac:dyDescent="0.3">
      <c r="C60" s="307">
        <v>2039</v>
      </c>
      <c r="D60" s="307">
        <v>55</v>
      </c>
      <c r="E60" s="307">
        <v>20</v>
      </c>
      <c r="F60" s="307">
        <v>1</v>
      </c>
      <c r="G60" s="307">
        <v>8.3657758364132084E-2</v>
      </c>
      <c r="H60" s="307">
        <v>0.46942462111646949</v>
      </c>
      <c r="I60" s="307">
        <v>0.74409391489672494</v>
      </c>
      <c r="J60" s="307">
        <v>2.3672453590164406</v>
      </c>
      <c r="K60" s="339">
        <v>15000</v>
      </c>
      <c r="L60" s="339">
        <v>26421.793000674697</v>
      </c>
      <c r="M60" s="339">
        <v>2210.3879743975604</v>
      </c>
      <c r="N60" s="339">
        <v>1037.6105374019753</v>
      </c>
      <c r="O60" s="339">
        <v>3500</v>
      </c>
      <c r="P60" s="339">
        <v>3500</v>
      </c>
      <c r="Q60" s="339">
        <v>292.80215427446228</v>
      </c>
      <c r="R60" s="339">
        <v>137.4485403323755</v>
      </c>
    </row>
    <row r="61" spans="3:18" hidden="1" outlineLevel="1" x14ac:dyDescent="0.3">
      <c r="C61" s="307">
        <v>2040</v>
      </c>
      <c r="D61" s="307">
        <v>56</v>
      </c>
      <c r="E61" s="307">
        <v>21</v>
      </c>
      <c r="F61" s="307">
        <v>1</v>
      </c>
      <c r="G61" s="307">
        <v>8.3436081009928664E-2</v>
      </c>
      <c r="H61" s="307">
        <v>0.44707106772997091</v>
      </c>
      <c r="I61" s="307">
        <v>0.76641673234362673</v>
      </c>
      <c r="J61" s="307">
        <v>2.4856076269672629</v>
      </c>
      <c r="K61" s="339">
        <v>15000</v>
      </c>
      <c r="L61" s="339">
        <v>28575.169130229689</v>
      </c>
      <c r="M61" s="339">
        <v>2384.2001264222572</v>
      </c>
      <c r="N61" s="339">
        <v>1065.9068962015301</v>
      </c>
      <c r="O61" s="339">
        <v>3500</v>
      </c>
      <c r="P61" s="339">
        <v>3500</v>
      </c>
      <c r="Q61" s="339">
        <v>292.02628353475035</v>
      </c>
      <c r="R61" s="339">
        <v>130.55650238509605</v>
      </c>
    </row>
    <row r="62" spans="3:18" hidden="1" outlineLevel="1" x14ac:dyDescent="0.3">
      <c r="C62" s="307">
        <v>2041</v>
      </c>
      <c r="D62" s="307">
        <v>57</v>
      </c>
      <c r="E62" s="307">
        <v>22</v>
      </c>
      <c r="F62" s="307">
        <v>1</v>
      </c>
      <c r="G62" s="307">
        <v>8.3189962117090982E-2</v>
      </c>
      <c r="H62" s="307">
        <v>0.42578196926663892</v>
      </c>
      <c r="I62" s="307">
        <v>0.7894092343139355</v>
      </c>
      <c r="J62" s="307">
        <v>2.6098880083156262</v>
      </c>
      <c r="K62" s="339">
        <v>15000</v>
      </c>
      <c r="L62" s="339">
        <v>30904.045414343407</v>
      </c>
      <c r="M62" s="339">
        <v>2570.9063672840875</v>
      </c>
      <c r="N62" s="339">
        <v>1094.6455758623597</v>
      </c>
      <c r="O62" s="339">
        <v>3500</v>
      </c>
      <c r="P62" s="339">
        <v>3500</v>
      </c>
      <c r="Q62" s="339">
        <v>291.16486740981844</v>
      </c>
      <c r="R62" s="339">
        <v>123.97275062701232</v>
      </c>
    </row>
    <row r="63" spans="3:18" hidden="1" outlineLevel="1" x14ac:dyDescent="0.3">
      <c r="C63" s="307">
        <v>2042</v>
      </c>
      <c r="D63" s="307">
        <v>58</v>
      </c>
      <c r="E63" s="307">
        <v>23</v>
      </c>
      <c r="F63" s="307">
        <v>1</v>
      </c>
      <c r="G63" s="307">
        <v>8.291961411190274E-2</v>
      </c>
      <c r="H63" s="307">
        <v>0.40550663739679893</v>
      </c>
      <c r="I63" s="307">
        <v>0.81309151134335356</v>
      </c>
      <c r="J63" s="307">
        <v>2.7403824087314077</v>
      </c>
      <c r="K63" s="339">
        <v>15000</v>
      </c>
      <c r="L63" s="339">
        <v>33422.725115612397</v>
      </c>
      <c r="M63" s="339">
        <v>2771.39946915478</v>
      </c>
      <c r="N63" s="339">
        <v>1123.8208796202284</v>
      </c>
      <c r="O63" s="339">
        <v>3500</v>
      </c>
      <c r="P63" s="339">
        <v>3500</v>
      </c>
      <c r="Q63" s="339">
        <v>290.2186493916596</v>
      </c>
      <c r="R63" s="339">
        <v>117.68558862465242</v>
      </c>
    </row>
    <row r="64" spans="3:18" hidden="1" outlineLevel="1" x14ac:dyDescent="0.3">
      <c r="C64" s="307">
        <v>2043</v>
      </c>
      <c r="D64" s="307">
        <v>59</v>
      </c>
      <c r="E64" s="307">
        <v>24</v>
      </c>
      <c r="F64" s="307">
        <v>1</v>
      </c>
      <c r="G64" s="307">
        <v>8.2621131741777848E-2</v>
      </c>
      <c r="H64" s="307">
        <v>0.38619679752076086</v>
      </c>
      <c r="I64" s="307">
        <v>0.83748425668365423</v>
      </c>
      <c r="J64" s="307">
        <v>2.8774015291679782</v>
      </c>
      <c r="K64" s="339">
        <v>15000</v>
      </c>
      <c r="L64" s="339">
        <v>36146.677212534814</v>
      </c>
      <c r="M64" s="339">
        <v>2986.4793800043581</v>
      </c>
      <c r="N64" s="339">
        <v>1153.3687724194706</v>
      </c>
      <c r="O64" s="339">
        <v>3500</v>
      </c>
      <c r="P64" s="339">
        <v>3500</v>
      </c>
      <c r="Q64" s="339">
        <v>289.17396109622246</v>
      </c>
      <c r="R64" s="339">
        <v>111.6780577017542</v>
      </c>
    </row>
    <row r="65" spans="3:18" hidden="1" outlineLevel="1" x14ac:dyDescent="0.3">
      <c r="C65" s="307">
        <v>2044</v>
      </c>
      <c r="D65" s="307">
        <v>60</v>
      </c>
      <c r="E65" s="307">
        <v>25</v>
      </c>
      <c r="F65" s="307">
        <v>1</v>
      </c>
      <c r="G65" s="307">
        <v>8.2290678670606812E-2</v>
      </c>
      <c r="H65" s="307">
        <v>0.36780647382929604</v>
      </c>
      <c r="I65" s="307">
        <v>0.86260878438416388</v>
      </c>
      <c r="J65" s="307">
        <v>3.0212716056263771</v>
      </c>
      <c r="K65" s="339">
        <v>15000</v>
      </c>
      <c r="L65" s="339">
        <v>39092.631405356406</v>
      </c>
      <c r="M65" s="339">
        <v>3216.9591693666562</v>
      </c>
      <c r="N65" s="339">
        <v>1183.2184085375709</v>
      </c>
      <c r="O65" s="339">
        <v>3500</v>
      </c>
      <c r="P65" s="339">
        <v>3500</v>
      </c>
      <c r="Q65" s="339">
        <v>288.01737534712385</v>
      </c>
      <c r="R65" s="339">
        <v>105.93465522799444</v>
      </c>
    </row>
    <row r="66" spans="3:18" hidden="1" outlineLevel="1" x14ac:dyDescent="0.3">
      <c r="C66" s="307">
        <v>2045</v>
      </c>
      <c r="D66" s="307">
        <v>61</v>
      </c>
      <c r="E66" s="307">
        <v>26</v>
      </c>
      <c r="F66" s="307">
        <v>1</v>
      </c>
      <c r="G66" s="307">
        <v>8.1924528444045311E-2</v>
      </c>
      <c r="H66" s="307">
        <v>0.35029187983742477</v>
      </c>
      <c r="I66" s="307">
        <v>0.88848704791568878</v>
      </c>
      <c r="J66" s="307">
        <v>3.1723351859076963</v>
      </c>
      <c r="K66" s="339">
        <v>15000</v>
      </c>
      <c r="L66" s="339">
        <v>42278.680864892951</v>
      </c>
      <c r="M66" s="339">
        <v>3463.6609930926365</v>
      </c>
      <c r="N66" s="339">
        <v>1213.2923203899811</v>
      </c>
      <c r="O66" s="339">
        <v>3500</v>
      </c>
      <c r="P66" s="339">
        <v>3500</v>
      </c>
      <c r="Q66" s="339">
        <v>286.73584955415856</v>
      </c>
      <c r="R66" s="339">
        <v>100.44123975710721</v>
      </c>
    </row>
    <row r="67" spans="3:18" hidden="1" outlineLevel="1" x14ac:dyDescent="0.3">
      <c r="C67" s="307">
        <v>2046</v>
      </c>
      <c r="D67" s="307">
        <v>62</v>
      </c>
      <c r="E67" s="307">
        <v>27</v>
      </c>
      <c r="F67" s="307">
        <v>1</v>
      </c>
      <c r="G67" s="307">
        <v>0.30155919348843885</v>
      </c>
      <c r="H67" s="307">
        <v>0.33361131413088074</v>
      </c>
      <c r="I67" s="307">
        <v>0.9151416593531595</v>
      </c>
      <c r="J67" s="307">
        <v>3.3309519452030814</v>
      </c>
      <c r="K67" s="339">
        <v>15000</v>
      </c>
      <c r="L67" s="339">
        <v>45724.393355381733</v>
      </c>
      <c r="M67" s="339">
        <v>13788.611182997047</v>
      </c>
      <c r="N67" s="339">
        <v>4600.0366967994032</v>
      </c>
      <c r="O67" s="339">
        <v>3500</v>
      </c>
      <c r="P67" s="339">
        <v>3500</v>
      </c>
      <c r="Q67" s="339">
        <v>1055.457177209536</v>
      </c>
      <c r="R67" s="339">
        <v>352.11245589774319</v>
      </c>
    </row>
    <row r="68" spans="3:18" hidden="1" outlineLevel="1" x14ac:dyDescent="0.3">
      <c r="C68" s="307">
        <v>2047</v>
      </c>
      <c r="D68" s="307">
        <v>63</v>
      </c>
      <c r="E68" s="307">
        <v>28</v>
      </c>
      <c r="F68" s="307">
        <v>1</v>
      </c>
      <c r="G68" s="307">
        <v>0.45273876053242179</v>
      </c>
      <c r="H68" s="307">
        <v>0.31772506107702925</v>
      </c>
      <c r="I68" s="307">
        <v>0.94259590913375435</v>
      </c>
      <c r="J68" s="307">
        <v>3.4974995424632356</v>
      </c>
      <c r="K68" s="339">
        <v>15000</v>
      </c>
      <c r="L68" s="339">
        <v>49450.931413845356</v>
      </c>
      <c r="M68" s="339">
        <v>22388.353395478145</v>
      </c>
      <c r="N68" s="339">
        <v>7113.3409499924092</v>
      </c>
      <c r="O68" s="339">
        <v>3500</v>
      </c>
      <c r="P68" s="339">
        <v>3500</v>
      </c>
      <c r="Q68" s="339">
        <v>1584.5856618634762</v>
      </c>
      <c r="R68" s="339">
        <v>503.46257619735781</v>
      </c>
    </row>
    <row r="69" spans="3:18" hidden="1" outlineLevel="1" x14ac:dyDescent="0.3">
      <c r="C69" s="307">
        <v>2048</v>
      </c>
      <c r="D69" s="307">
        <v>64</v>
      </c>
      <c r="E69" s="307">
        <v>29</v>
      </c>
      <c r="F69" s="307">
        <v>1</v>
      </c>
      <c r="G69" s="307">
        <v>0.52068955064672595</v>
      </c>
      <c r="H69" s="307">
        <v>0.30259529626383735</v>
      </c>
      <c r="I69" s="307">
        <v>0.970873786407767</v>
      </c>
      <c r="J69" s="307">
        <v>3.6723745195863975</v>
      </c>
      <c r="K69" s="339">
        <v>15000</v>
      </c>
      <c r="L69" s="339">
        <v>53481.18232407375</v>
      </c>
      <c r="M69" s="339">
        <v>27847.092792377585</v>
      </c>
      <c r="N69" s="339">
        <v>8426.399293596065</v>
      </c>
      <c r="O69" s="339">
        <v>3500</v>
      </c>
      <c r="P69" s="339">
        <v>3500</v>
      </c>
      <c r="Q69" s="339">
        <v>1822.4134272635408</v>
      </c>
      <c r="R69" s="339">
        <v>551.45373093800629</v>
      </c>
    </row>
    <row r="70" spans="3:18" hidden="1" outlineLevel="1" x14ac:dyDescent="0.3">
      <c r="C70" s="307">
        <v>2049</v>
      </c>
      <c r="D70" s="307">
        <v>65</v>
      </c>
      <c r="E70" s="307">
        <v>30</v>
      </c>
      <c r="F70" s="307">
        <v>1</v>
      </c>
      <c r="G70" s="307">
        <v>0.79766257984514588</v>
      </c>
      <c r="H70" s="307">
        <v>0.28818599644174986</v>
      </c>
      <c r="I70" s="307">
        <v>1</v>
      </c>
      <c r="J70" s="307">
        <v>3.8559932455657173</v>
      </c>
      <c r="K70" s="339">
        <v>2100</v>
      </c>
      <c r="L70" s="339">
        <v>8097.5858156880067</v>
      </c>
      <c r="M70" s="339">
        <v>6459.1411922591551</v>
      </c>
      <c r="N70" s="339">
        <v>1861.4340406491567</v>
      </c>
      <c r="O70" s="339">
        <v>1000</v>
      </c>
      <c r="P70" s="339">
        <v>1000</v>
      </c>
      <c r="Q70" s="339">
        <v>797.66257984514584</v>
      </c>
      <c r="R70" s="339">
        <v>229.87518539697021</v>
      </c>
    </row>
    <row r="71" spans="3:18" hidden="1" outlineLevel="1" x14ac:dyDescent="0.3">
      <c r="C71" s="307">
        <v>2050</v>
      </c>
      <c r="D71" s="307">
        <v>66</v>
      </c>
      <c r="E71" s="307">
        <v>31</v>
      </c>
      <c r="F71" s="307">
        <v>1</v>
      </c>
      <c r="G71" s="307">
        <v>0.79172098825197978</v>
      </c>
      <c r="H71" s="307">
        <v>0.2744628537540475</v>
      </c>
      <c r="I71" s="307">
        <v>1.0249999999999999</v>
      </c>
      <c r="J71" s="307">
        <v>4.0487929078440033</v>
      </c>
      <c r="K71" s="339">
        <v>2100</v>
      </c>
      <c r="L71" s="339">
        <v>8715.0267341342169</v>
      </c>
      <c r="M71" s="339">
        <v>6899.8695785911659</v>
      </c>
      <c r="N71" s="339">
        <v>1893.7578950708685</v>
      </c>
      <c r="O71" s="339">
        <v>1000</v>
      </c>
      <c r="P71" s="339">
        <v>1000</v>
      </c>
      <c r="Q71" s="339">
        <v>791.72098825197975</v>
      </c>
      <c r="R71" s="339">
        <v>217.29800181261308</v>
      </c>
    </row>
    <row r="72" spans="3:18" hidden="1" outlineLevel="1" x14ac:dyDescent="0.3">
      <c r="C72" s="307">
        <v>2051</v>
      </c>
      <c r="D72" s="307">
        <v>67</v>
      </c>
      <c r="E72" s="307">
        <v>32</v>
      </c>
      <c r="F72" s="307">
        <v>1</v>
      </c>
      <c r="G72" s="307">
        <v>0.78519068500938616</v>
      </c>
      <c r="H72" s="307">
        <v>0.26139319405147382</v>
      </c>
      <c r="I72" s="307">
        <v>1.0506249999999999</v>
      </c>
      <c r="J72" s="307">
        <v>4.2512325532362034</v>
      </c>
      <c r="K72" s="339">
        <v>2100</v>
      </c>
      <c r="L72" s="339">
        <v>9379.5475226119506</v>
      </c>
      <c r="M72" s="339">
        <v>7364.7333443577681</v>
      </c>
      <c r="N72" s="339">
        <v>1925.0911722190699</v>
      </c>
      <c r="O72" s="339">
        <v>1000</v>
      </c>
      <c r="P72" s="339">
        <v>1000</v>
      </c>
      <c r="Q72" s="339">
        <v>785.19068500938613</v>
      </c>
      <c r="R72" s="339">
        <v>205.24350109406814</v>
      </c>
    </row>
    <row r="73" spans="3:18" hidden="1" outlineLevel="1" x14ac:dyDescent="0.3">
      <c r="C73" s="307">
        <v>2052</v>
      </c>
      <c r="D73" s="307">
        <v>68</v>
      </c>
      <c r="E73" s="307">
        <v>33</v>
      </c>
      <c r="F73" s="307">
        <v>1</v>
      </c>
      <c r="G73" s="307">
        <v>0.77796864595838189</v>
      </c>
      <c r="H73" s="307">
        <v>0.24894589909664172</v>
      </c>
      <c r="I73" s="307">
        <v>1.0768906249999999</v>
      </c>
      <c r="J73" s="307">
        <v>4.4637941808980139</v>
      </c>
      <c r="K73" s="339">
        <v>2100</v>
      </c>
      <c r="L73" s="339">
        <v>10094.738021211113</v>
      </c>
      <c r="M73" s="339">
        <v>7853.389669666205</v>
      </c>
      <c r="N73" s="339">
        <v>1955.0691522713316</v>
      </c>
      <c r="O73" s="339">
        <v>1000</v>
      </c>
      <c r="P73" s="339">
        <v>1000</v>
      </c>
      <c r="Q73" s="339">
        <v>777.9686459583819</v>
      </c>
      <c r="R73" s="339">
        <v>193.67210403710632</v>
      </c>
    </row>
    <row r="74" spans="3:18" hidden="1" outlineLevel="1" x14ac:dyDescent="0.3">
      <c r="C74" s="307">
        <v>2053</v>
      </c>
      <c r="D74" s="307">
        <v>69</v>
      </c>
      <c r="E74" s="307">
        <v>34</v>
      </c>
      <c r="F74" s="307">
        <v>1</v>
      </c>
      <c r="G74" s="307">
        <v>0.76995784382714261</v>
      </c>
      <c r="H74" s="307">
        <v>0.23709133247299211</v>
      </c>
      <c r="I74" s="307">
        <v>1.1038128906249998</v>
      </c>
      <c r="J74" s="307">
        <v>4.6869838899429146</v>
      </c>
      <c r="K74" s="339">
        <v>2100</v>
      </c>
      <c r="L74" s="339">
        <v>10864.46179532846</v>
      </c>
      <c r="M74" s="339">
        <v>8365.1775782734676</v>
      </c>
      <c r="N74" s="339">
        <v>1983.3110984060536</v>
      </c>
      <c r="O74" s="339">
        <v>1000</v>
      </c>
      <c r="P74" s="339">
        <v>1000</v>
      </c>
      <c r="Q74" s="339">
        <v>769.9578438271426</v>
      </c>
      <c r="R74" s="339">
        <v>182.5503311410092</v>
      </c>
    </row>
    <row r="75" spans="3:18" hidden="1" outlineLevel="1" x14ac:dyDescent="0.3">
      <c r="C75" s="307">
        <v>2054</v>
      </c>
      <c r="D75" s="307">
        <v>70</v>
      </c>
      <c r="E75" s="307">
        <v>35</v>
      </c>
      <c r="F75" s="307">
        <v>1</v>
      </c>
      <c r="G75" s="307">
        <v>0.76099099939548975</v>
      </c>
      <c r="H75" s="307">
        <v>0.22580126902189723</v>
      </c>
      <c r="I75" s="307">
        <v>1.1314082128906247</v>
      </c>
      <c r="J75" s="307">
        <v>4.9213330844400609</v>
      </c>
      <c r="K75" s="339">
        <v>2100</v>
      </c>
      <c r="L75" s="339">
        <v>11692.877007222254</v>
      </c>
      <c r="M75" s="339">
        <v>8898.1741595346066</v>
      </c>
      <c r="N75" s="339">
        <v>2009.2190172007681</v>
      </c>
      <c r="O75" s="339">
        <v>1000</v>
      </c>
      <c r="P75" s="339">
        <v>1000</v>
      </c>
      <c r="Q75" s="339">
        <v>760.99099939548978</v>
      </c>
      <c r="R75" s="339">
        <v>171.83273337774341</v>
      </c>
    </row>
    <row r="76" spans="3:18" hidden="1" outlineLevel="1" x14ac:dyDescent="0.3">
      <c r="C76" s="307">
        <v>2055</v>
      </c>
      <c r="D76" s="307">
        <v>71</v>
      </c>
      <c r="E76" s="307">
        <v>36</v>
      </c>
      <c r="F76" s="307">
        <v>1</v>
      </c>
      <c r="G76" s="307">
        <v>0.75091190409580877</v>
      </c>
      <c r="H76" s="307">
        <v>0.21504882763990213</v>
      </c>
      <c r="I76" s="307">
        <v>1.1540363771484372</v>
      </c>
      <c r="J76" s="307">
        <v>5.1673997386620645</v>
      </c>
      <c r="K76" s="339">
        <v>2100</v>
      </c>
      <c r="L76" s="339">
        <v>12523.071274735035</v>
      </c>
      <c r="M76" s="339">
        <v>9403.7232960388119</v>
      </c>
      <c r="N76" s="339">
        <v>2022.2596702631829</v>
      </c>
      <c r="O76" s="339">
        <v>1000</v>
      </c>
      <c r="P76" s="339">
        <v>1000</v>
      </c>
      <c r="Q76" s="339">
        <v>750.91190409580872</v>
      </c>
      <c r="R76" s="339">
        <v>161.48272463665029</v>
      </c>
    </row>
    <row r="77" spans="3:18" hidden="1" outlineLevel="1" x14ac:dyDescent="0.3">
      <c r="C77" s="307">
        <v>2056</v>
      </c>
      <c r="D77" s="307">
        <v>72</v>
      </c>
      <c r="E77" s="307">
        <v>37</v>
      </c>
      <c r="F77" s="307">
        <v>1</v>
      </c>
      <c r="G77" s="307">
        <v>0.73954118684067538</v>
      </c>
      <c r="H77" s="307">
        <v>0.20480840727609725</v>
      </c>
      <c r="I77" s="307">
        <v>1.177117104691406</v>
      </c>
      <c r="J77" s="307">
        <v>5.4257697255951678</v>
      </c>
      <c r="K77" s="339">
        <v>2100</v>
      </c>
      <c r="L77" s="339">
        <v>13412.209335241223</v>
      </c>
      <c r="M77" s="339">
        <v>9918.8812099398801</v>
      </c>
      <c r="N77" s="339">
        <v>2031.4702625685952</v>
      </c>
      <c r="O77" s="339">
        <v>1000</v>
      </c>
      <c r="P77" s="339">
        <v>1000</v>
      </c>
      <c r="Q77" s="339">
        <v>739.54118684067544</v>
      </c>
      <c r="R77" s="339">
        <v>151.46425259191338</v>
      </c>
    </row>
    <row r="78" spans="3:18" hidden="1" outlineLevel="1" x14ac:dyDescent="0.3">
      <c r="C78" s="307">
        <v>2057</v>
      </c>
      <c r="D78" s="307">
        <v>73</v>
      </c>
      <c r="E78" s="307">
        <v>38</v>
      </c>
      <c r="F78" s="307">
        <v>1</v>
      </c>
      <c r="G78" s="307">
        <v>0.72671709233030368</v>
      </c>
      <c r="H78" s="307">
        <v>0.19505562597723547</v>
      </c>
      <c r="I78" s="307">
        <v>1.2006594467852341</v>
      </c>
      <c r="J78" s="307">
        <v>5.6970582118749267</v>
      </c>
      <c r="K78" s="339">
        <v>2100</v>
      </c>
      <c r="L78" s="339">
        <v>14364.47619804335</v>
      </c>
      <c r="M78" s="339">
        <v>10438.910375489919</v>
      </c>
      <c r="N78" s="339">
        <v>2036.1681978114443</v>
      </c>
      <c r="O78" s="339">
        <v>1000</v>
      </c>
      <c r="P78" s="339">
        <v>1000</v>
      </c>
      <c r="Q78" s="339">
        <v>726.71709233030367</v>
      </c>
      <c r="R78" s="339">
        <v>141.75025735284382</v>
      </c>
    </row>
    <row r="79" spans="3:18" hidden="1" outlineLevel="1" x14ac:dyDescent="0.3">
      <c r="C79" s="307">
        <v>2058</v>
      </c>
      <c r="D79" s="307">
        <v>74</v>
      </c>
      <c r="E79" s="307">
        <v>39</v>
      </c>
      <c r="F79" s="307">
        <v>1</v>
      </c>
      <c r="G79" s="307">
        <v>0.71233691426354162</v>
      </c>
      <c r="H79" s="307">
        <v>0.18576726283546235</v>
      </c>
      <c r="I79" s="307">
        <v>1.2246726357209388</v>
      </c>
      <c r="J79" s="307">
        <v>5.9819111224686736</v>
      </c>
      <c r="K79" s="339">
        <v>2100</v>
      </c>
      <c r="L79" s="339">
        <v>15384.35400810443</v>
      </c>
      <c r="M79" s="339">
        <v>10958.843262071059</v>
      </c>
      <c r="N79" s="339">
        <v>2035.7943166377902</v>
      </c>
      <c r="O79" s="339">
        <v>1000</v>
      </c>
      <c r="P79" s="339">
        <v>1000</v>
      </c>
      <c r="Q79" s="339">
        <v>712.33691426354164</v>
      </c>
      <c r="R79" s="339">
        <v>132.32887877939754</v>
      </c>
    </row>
    <row r="80" spans="3:18" hidden="1" outlineLevel="1" x14ac:dyDescent="0.3">
      <c r="C80" s="307">
        <v>2059</v>
      </c>
      <c r="D80" s="307">
        <v>75</v>
      </c>
      <c r="E80" s="307">
        <v>40</v>
      </c>
      <c r="F80" s="307">
        <v>1</v>
      </c>
      <c r="G80" s="307">
        <v>0.69628473000971236</v>
      </c>
      <c r="H80" s="307">
        <v>0.17692120270044032</v>
      </c>
      <c r="I80" s="307">
        <v>1.2491660884353575</v>
      </c>
      <c r="J80" s="307">
        <v>6.2810066785921075</v>
      </c>
      <c r="K80" s="339">
        <v>2100</v>
      </c>
      <c r="L80" s="339">
        <v>16476.643142679844</v>
      </c>
      <c r="M80" s="339">
        <v>11472.435022067215</v>
      </c>
      <c r="N80" s="339">
        <v>2029.7170020067842</v>
      </c>
      <c r="O80" s="339">
        <v>1000</v>
      </c>
      <c r="P80" s="339">
        <v>1000</v>
      </c>
      <c r="Q80" s="339">
        <v>696.28473000971235</v>
      </c>
      <c r="R80" s="339">
        <v>123.18753185526968</v>
      </c>
    </row>
    <row r="81" spans="3:18" hidden="1" outlineLevel="1" x14ac:dyDescent="0.3">
      <c r="C81" s="307">
        <v>2060</v>
      </c>
      <c r="D81" s="307">
        <v>76</v>
      </c>
      <c r="E81" s="307">
        <v>41</v>
      </c>
      <c r="F81" s="307">
        <v>1</v>
      </c>
      <c r="G81" s="307">
        <v>0.67847337196075141</v>
      </c>
      <c r="H81" s="307">
        <v>0.16849638352422885</v>
      </c>
      <c r="I81" s="307">
        <v>1.2679035797618876</v>
      </c>
      <c r="J81" s="307">
        <v>6.5950570125217132</v>
      </c>
      <c r="K81" s="339">
        <v>2100</v>
      </c>
      <c r="L81" s="339">
        <v>17559.982429311043</v>
      </c>
      <c r="M81" s="339">
        <v>11913.980490386211</v>
      </c>
      <c r="N81" s="339">
        <v>2007.4626260082953</v>
      </c>
      <c r="O81" s="339">
        <v>1000</v>
      </c>
      <c r="P81" s="339">
        <v>1000</v>
      </c>
      <c r="Q81" s="339">
        <v>678.47337196075136</v>
      </c>
      <c r="R81" s="339">
        <v>114.32030949287554</v>
      </c>
    </row>
    <row r="82" spans="3:18" hidden="1" outlineLevel="1" x14ac:dyDescent="0.3">
      <c r="C82" s="307">
        <v>2061</v>
      </c>
      <c r="D82" s="307">
        <v>77</v>
      </c>
      <c r="E82" s="307">
        <v>42</v>
      </c>
      <c r="F82" s="307">
        <v>1</v>
      </c>
      <c r="G82" s="307">
        <v>0.65884793814485254</v>
      </c>
      <c r="H82" s="307">
        <v>0.16047274621355129</v>
      </c>
      <c r="I82" s="307">
        <v>1.2869221334583159</v>
      </c>
      <c r="J82" s="307">
        <v>6.9248098631477992</v>
      </c>
      <c r="K82" s="339">
        <v>2100</v>
      </c>
      <c r="L82" s="339">
        <v>18714.551274038244</v>
      </c>
      <c r="M82" s="339">
        <v>12330.04352020622</v>
      </c>
      <c r="N82" s="339">
        <v>1978.6359446200952</v>
      </c>
      <c r="O82" s="339">
        <v>1000</v>
      </c>
      <c r="P82" s="339">
        <v>1000</v>
      </c>
      <c r="Q82" s="339">
        <v>658.84793814485249</v>
      </c>
      <c r="R82" s="339">
        <v>105.72713797124045</v>
      </c>
    </row>
    <row r="83" spans="3:18" hidden="1" outlineLevel="1" x14ac:dyDescent="0.3">
      <c r="C83" s="307">
        <v>2062</v>
      </c>
      <c r="D83" s="307">
        <v>78</v>
      </c>
      <c r="E83" s="307">
        <v>43</v>
      </c>
      <c r="F83" s="307">
        <v>1</v>
      </c>
      <c r="G83" s="307">
        <v>0.63738901021444172</v>
      </c>
      <c r="H83" s="307">
        <v>0.15283118687004885</v>
      </c>
      <c r="I83" s="307">
        <v>1.3062259654601904</v>
      </c>
      <c r="J83" s="307">
        <v>7.2710503563051896</v>
      </c>
      <c r="K83" s="339">
        <v>2100</v>
      </c>
      <c r="L83" s="339">
        <v>19945.033020306255</v>
      </c>
      <c r="M83" s="339">
        <v>12712.744855507361</v>
      </c>
      <c r="N83" s="339">
        <v>1942.9038846432975</v>
      </c>
      <c r="O83" s="339">
        <v>1000</v>
      </c>
      <c r="P83" s="339">
        <v>1000</v>
      </c>
      <c r="Q83" s="339">
        <v>637.38901021444167</v>
      </c>
      <c r="R83" s="339">
        <v>97.412918928998806</v>
      </c>
    </row>
    <row r="84" spans="3:18" hidden="1" outlineLevel="1" x14ac:dyDescent="0.3">
      <c r="C84" s="307">
        <v>2063</v>
      </c>
      <c r="D84" s="307">
        <v>79</v>
      </c>
      <c r="E84" s="307">
        <v>44</v>
      </c>
      <c r="F84" s="307">
        <v>1</v>
      </c>
      <c r="G84" s="307">
        <v>0.61414668724683197</v>
      </c>
      <c r="H84" s="307">
        <v>0.14555351130480843</v>
      </c>
      <c r="I84" s="307">
        <v>1.3258193549420931</v>
      </c>
      <c r="J84" s="307">
        <v>7.634602874120449</v>
      </c>
      <c r="K84" s="339">
        <v>2100</v>
      </c>
      <c r="L84" s="339">
        <v>21256.418941391392</v>
      </c>
      <c r="M84" s="339">
        <v>13054.559275586334</v>
      </c>
      <c r="N84" s="339">
        <v>1900.1369410983473</v>
      </c>
      <c r="O84" s="339">
        <v>1000</v>
      </c>
      <c r="P84" s="339">
        <v>1000</v>
      </c>
      <c r="Q84" s="339">
        <v>614.14668724683202</v>
      </c>
      <c r="R84" s="339">
        <v>89.391206784992406</v>
      </c>
    </row>
    <row r="85" spans="3:18" hidden="1" outlineLevel="1" x14ac:dyDescent="0.3">
      <c r="C85" s="307">
        <v>2064</v>
      </c>
      <c r="D85" s="307">
        <v>80</v>
      </c>
      <c r="E85" s="307">
        <v>45</v>
      </c>
      <c r="F85" s="307">
        <v>1</v>
      </c>
      <c r="G85" s="307">
        <v>0.58917743669067546</v>
      </c>
      <c r="H85" s="307">
        <v>0.13862239171886517</v>
      </c>
      <c r="I85" s="307">
        <v>1.3457066452662243</v>
      </c>
      <c r="J85" s="307">
        <v>8.0163330178264722</v>
      </c>
      <c r="K85" s="339">
        <v>2100</v>
      </c>
      <c r="L85" s="339">
        <v>22654.028486787869</v>
      </c>
      <c r="M85" s="339">
        <v>13347.242434563219</v>
      </c>
      <c r="N85" s="339">
        <v>1850.2266691306822</v>
      </c>
      <c r="O85" s="339">
        <v>1000</v>
      </c>
      <c r="P85" s="339">
        <v>1000</v>
      </c>
      <c r="Q85" s="339">
        <v>589.17743669067545</v>
      </c>
      <c r="R85" s="339">
        <v>81.673185420851695</v>
      </c>
    </row>
    <row r="86" spans="3:18" hidden="1" outlineLevel="1" x14ac:dyDescent="0.3">
      <c r="C86" s="307">
        <v>2065</v>
      </c>
      <c r="D86" s="307">
        <v>81</v>
      </c>
      <c r="E86" s="307">
        <v>46</v>
      </c>
      <c r="F86" s="307">
        <v>1</v>
      </c>
      <c r="G86" s="307">
        <v>0.5625186945210614</v>
      </c>
      <c r="H86" s="307">
        <v>0.13202132544653825</v>
      </c>
      <c r="I86" s="307">
        <v>1.3591637117188866</v>
      </c>
      <c r="J86" s="307">
        <v>8.417149668717796</v>
      </c>
      <c r="K86" s="339">
        <v>2100</v>
      </c>
      <c r="L86" s="339">
        <v>24024.597210238542</v>
      </c>
      <c r="M86" s="339">
        <v>13514.285059097718</v>
      </c>
      <c r="N86" s="339">
        <v>1784.1738259644292</v>
      </c>
      <c r="O86" s="339">
        <v>1000</v>
      </c>
      <c r="P86" s="339">
        <v>1000</v>
      </c>
      <c r="Q86" s="339">
        <v>562.51869452106143</v>
      </c>
      <c r="R86" s="339">
        <v>74.264463639126888</v>
      </c>
    </row>
    <row r="87" spans="3:18" hidden="1" outlineLevel="1" x14ac:dyDescent="0.3">
      <c r="C87" s="307">
        <v>2066</v>
      </c>
      <c r="D87" s="307">
        <v>82</v>
      </c>
      <c r="E87" s="307">
        <v>47</v>
      </c>
      <c r="F87" s="307">
        <v>1</v>
      </c>
      <c r="G87" s="307">
        <v>0.534314615711035</v>
      </c>
      <c r="H87" s="307">
        <v>0.12573459566336975</v>
      </c>
      <c r="I87" s="307">
        <v>1.3727553488360755</v>
      </c>
      <c r="J87" s="307">
        <v>8.8380071521536863</v>
      </c>
      <c r="K87" s="339">
        <v>2100</v>
      </c>
      <c r="L87" s="339">
        <v>25478.085341457976</v>
      </c>
      <c r="M87" s="339">
        <v>13613.313378274073</v>
      </c>
      <c r="N87" s="339">
        <v>1711.6644532560326</v>
      </c>
      <c r="O87" s="339">
        <v>1000</v>
      </c>
      <c r="P87" s="339">
        <v>1000</v>
      </c>
      <c r="Q87" s="339">
        <v>534.314615711035</v>
      </c>
      <c r="R87" s="339">
        <v>67.18183216345578</v>
      </c>
    </row>
    <row r="88" spans="3:18" hidden="1" outlineLevel="1" x14ac:dyDescent="0.3">
      <c r="C88" s="307">
        <v>2067</v>
      </c>
      <c r="D88" s="307">
        <v>83</v>
      </c>
      <c r="E88" s="307">
        <v>48</v>
      </c>
      <c r="F88" s="307">
        <v>1</v>
      </c>
      <c r="G88" s="307">
        <v>0.50475262858610526</v>
      </c>
      <c r="H88" s="307">
        <v>0.11974723396511404</v>
      </c>
      <c r="I88" s="307">
        <v>1.3864829023244363</v>
      </c>
      <c r="J88" s="307">
        <v>9.2799075097613706</v>
      </c>
      <c r="K88" s="339">
        <v>2100</v>
      </c>
      <c r="L88" s="339">
        <v>27019.509504616184</v>
      </c>
      <c r="M88" s="339">
        <v>13638.168445562274</v>
      </c>
      <c r="N88" s="339">
        <v>1633.1329477063814</v>
      </c>
      <c r="O88" s="339">
        <v>1000</v>
      </c>
      <c r="P88" s="339">
        <v>1000</v>
      </c>
      <c r="Q88" s="339">
        <v>504.75262858610523</v>
      </c>
      <c r="R88" s="339">
        <v>60.442731109806651</v>
      </c>
    </row>
    <row r="89" spans="3:18" hidden="1" outlineLevel="1" x14ac:dyDescent="0.3">
      <c r="C89" s="307">
        <v>2068</v>
      </c>
      <c r="D89" s="307">
        <v>84</v>
      </c>
      <c r="E89" s="307">
        <v>49</v>
      </c>
      <c r="F89" s="307">
        <v>1</v>
      </c>
      <c r="G89" s="307">
        <v>0.47403099591910092</v>
      </c>
      <c r="H89" s="307">
        <v>0.11404498472868004</v>
      </c>
      <c r="I89" s="307">
        <v>1.4003477313476806</v>
      </c>
      <c r="J89" s="307">
        <v>9.7439028852494403</v>
      </c>
      <c r="K89" s="339">
        <v>2100</v>
      </c>
      <c r="L89" s="339">
        <v>28654.189829645464</v>
      </c>
      <c r="M89" s="339">
        <v>13582.974142201812</v>
      </c>
      <c r="N89" s="339">
        <v>1549.0700786174614</v>
      </c>
      <c r="O89" s="339">
        <v>1000</v>
      </c>
      <c r="P89" s="339">
        <v>1000</v>
      </c>
      <c r="Q89" s="339">
        <v>474.03099591910092</v>
      </c>
      <c r="R89" s="339">
        <v>54.060857690514851</v>
      </c>
    </row>
    <row r="90" spans="3:18" hidden="1" outlineLevel="1" x14ac:dyDescent="0.3">
      <c r="C90" s="307">
        <v>2069</v>
      </c>
      <c r="D90" s="307">
        <v>85</v>
      </c>
      <c r="E90" s="307">
        <v>50</v>
      </c>
      <c r="F90" s="307">
        <v>1</v>
      </c>
      <c r="G90" s="307">
        <v>0.44238966442216721</v>
      </c>
      <c r="H90" s="307">
        <v>0.10861427117017146</v>
      </c>
      <c r="I90" s="307">
        <v>1.4143512086611574</v>
      </c>
      <c r="J90" s="307">
        <v>10.231098029511912</v>
      </c>
      <c r="K90" s="339">
        <v>2100</v>
      </c>
      <c r="L90" s="339">
        <v>30387.768314339013</v>
      </c>
      <c r="M90" s="339">
        <v>13443.234627119002</v>
      </c>
      <c r="N90" s="339">
        <v>1460.1271311941421</v>
      </c>
      <c r="O90" s="339">
        <v>1000</v>
      </c>
      <c r="P90" s="339">
        <v>1000</v>
      </c>
      <c r="Q90" s="339">
        <v>442.38966442216719</v>
      </c>
      <c r="R90" s="339">
        <v>48.049830974430421</v>
      </c>
    </row>
    <row r="91" spans="3:18" hidden="1" outlineLevel="1" x14ac:dyDescent="0.3">
      <c r="C91" s="307">
        <v>2070</v>
      </c>
      <c r="D91" s="307">
        <v>86</v>
      </c>
      <c r="E91" s="307">
        <v>51</v>
      </c>
      <c r="F91" s="307">
        <v>1</v>
      </c>
      <c r="G91" s="307">
        <v>0.41003829342478615</v>
      </c>
      <c r="H91" s="307">
        <v>0.10344216301921091</v>
      </c>
      <c r="I91" s="307">
        <v>1.4214229647044629</v>
      </c>
      <c r="J91" s="307">
        <v>10.742652930987509</v>
      </c>
      <c r="K91" s="339">
        <v>2100</v>
      </c>
      <c r="L91" s="339">
        <v>32066.692513706243</v>
      </c>
      <c r="M91" s="339">
        <v>13148.571874097473</v>
      </c>
      <c r="N91" s="339">
        <v>1360.1167152702023</v>
      </c>
      <c r="O91" s="339">
        <v>1000</v>
      </c>
      <c r="P91" s="339">
        <v>1000</v>
      </c>
      <c r="Q91" s="339">
        <v>410.03829342478616</v>
      </c>
      <c r="R91" s="339">
        <v>42.415247992565767</v>
      </c>
    </row>
    <row r="92" spans="3:18" hidden="1" outlineLevel="1" x14ac:dyDescent="0.3">
      <c r="C92" s="307">
        <v>2071</v>
      </c>
      <c r="D92" s="307">
        <v>87</v>
      </c>
      <c r="E92" s="307">
        <v>52</v>
      </c>
      <c r="F92" s="307">
        <v>1</v>
      </c>
      <c r="G92" s="307">
        <v>0.37719232451930973</v>
      </c>
      <c r="H92" s="307">
        <v>9.851634573258182E-2</v>
      </c>
      <c r="I92" s="307">
        <v>1.4285300795279852</v>
      </c>
      <c r="J92" s="307">
        <v>11.279785577536884</v>
      </c>
      <c r="K92" s="339">
        <v>2100</v>
      </c>
      <c r="L92" s="339">
        <v>33838.377275088511</v>
      </c>
      <c r="M92" s="339">
        <v>12763.576182352021</v>
      </c>
      <c r="N92" s="339">
        <v>1257.4208839647386</v>
      </c>
      <c r="O92" s="339">
        <v>1000</v>
      </c>
      <c r="P92" s="339">
        <v>1000</v>
      </c>
      <c r="Q92" s="339">
        <v>377.19232451930975</v>
      </c>
      <c r="R92" s="339">
        <v>37.159609450020518</v>
      </c>
    </row>
    <row r="93" spans="3:18" hidden="1" outlineLevel="1" x14ac:dyDescent="0.3">
      <c r="C93" s="307">
        <v>2072</v>
      </c>
      <c r="D93" s="307">
        <v>88</v>
      </c>
      <c r="E93" s="307">
        <v>53</v>
      </c>
      <c r="F93" s="307">
        <v>1</v>
      </c>
      <c r="G93" s="307">
        <v>0.34410318346216362</v>
      </c>
      <c r="H93" s="307">
        <v>9.3825091173887445E-2</v>
      </c>
      <c r="I93" s="307">
        <v>1.4356727299256249</v>
      </c>
      <c r="J93" s="307">
        <v>11.843774856413729</v>
      </c>
      <c r="K93" s="339">
        <v>2100</v>
      </c>
      <c r="L93" s="339">
        <v>35707.947619537146</v>
      </c>
      <c r="M93" s="339">
        <v>12287.218450782919</v>
      </c>
      <c r="N93" s="339">
        <v>1152.8493914181795</v>
      </c>
      <c r="O93" s="339">
        <v>1000</v>
      </c>
      <c r="P93" s="339">
        <v>1000</v>
      </c>
      <c r="Q93" s="339">
        <v>344.1031834621636</v>
      </c>
      <c r="R93" s="339">
        <v>32.28551256156242</v>
      </c>
    </row>
    <row r="94" spans="3:18" hidden="1" outlineLevel="1" x14ac:dyDescent="0.3">
      <c r="C94" s="307">
        <v>2073</v>
      </c>
      <c r="D94" s="307">
        <v>89</v>
      </c>
      <c r="E94" s="307">
        <v>54</v>
      </c>
      <c r="F94" s="307">
        <v>1</v>
      </c>
      <c r="G94" s="307">
        <v>0.31092433288219679</v>
      </c>
      <c r="H94" s="307">
        <v>8.9357229689416617E-2</v>
      </c>
      <c r="I94" s="307">
        <v>1.4428510935752528</v>
      </c>
      <c r="J94" s="307">
        <v>12.435963599234416</v>
      </c>
      <c r="K94" s="339">
        <v>2100</v>
      </c>
      <c r="L94" s="339">
        <v>37680.811725516571</v>
      </c>
      <c r="M94" s="339">
        <v>11715.881248215897</v>
      </c>
      <c r="N94" s="339">
        <v>1046.898691710757</v>
      </c>
      <c r="O94" s="339">
        <v>1000</v>
      </c>
      <c r="P94" s="339">
        <v>1000</v>
      </c>
      <c r="Q94" s="339">
        <v>310.92433288219678</v>
      </c>
      <c r="R94" s="339">
        <v>27.783337029383091</v>
      </c>
    </row>
    <row r="95" spans="3:18" hidden="1" outlineLevel="1" x14ac:dyDescent="0.3">
      <c r="C95" s="307">
        <v>2074</v>
      </c>
      <c r="D95" s="307">
        <v>90</v>
      </c>
      <c r="E95" s="307">
        <v>55</v>
      </c>
      <c r="F95" s="307">
        <v>1</v>
      </c>
      <c r="G95" s="307">
        <v>0.27786614903500484</v>
      </c>
      <c r="H95" s="307">
        <v>8.5102123513730102E-2</v>
      </c>
      <c r="I95" s="307">
        <v>1.4500653490431288</v>
      </c>
      <c r="J95" s="307">
        <v>13.057761779196138</v>
      </c>
      <c r="K95" s="339">
        <v>2100</v>
      </c>
      <c r="L95" s="339">
        <v>39762.676573351353</v>
      </c>
      <c r="M95" s="339">
        <v>11048.701814761542</v>
      </c>
      <c r="N95" s="339">
        <v>940.2679865062106</v>
      </c>
      <c r="O95" s="339">
        <v>1000</v>
      </c>
      <c r="P95" s="339">
        <v>1000</v>
      </c>
      <c r="Q95" s="339">
        <v>277.86614903500487</v>
      </c>
      <c r="R95" s="339">
        <v>23.646999335461519</v>
      </c>
    </row>
    <row r="96" spans="3:18" collapsed="1" x14ac:dyDescent="0.3"/>
    <row r="97" spans="3:18" x14ac:dyDescent="0.3">
      <c r="C97" s="123" t="s">
        <v>1204</v>
      </c>
    </row>
    <row r="98" spans="3:18" ht="57.6" x14ac:dyDescent="0.3">
      <c r="C98" s="340" t="s">
        <v>291</v>
      </c>
      <c r="D98" s="340" t="s">
        <v>7</v>
      </c>
      <c r="E98" s="340" t="s">
        <v>1095</v>
      </c>
      <c r="F98" s="340" t="s">
        <v>1201</v>
      </c>
      <c r="G98" s="340" t="s">
        <v>1200</v>
      </c>
      <c r="H98" s="340" t="s">
        <v>1199</v>
      </c>
      <c r="I98" s="340" t="s">
        <v>1198</v>
      </c>
      <c r="J98" s="340" t="s">
        <v>1197</v>
      </c>
      <c r="K98" s="340" t="s">
        <v>1196</v>
      </c>
      <c r="L98" s="340" t="s">
        <v>1195</v>
      </c>
      <c r="M98" s="340" t="s">
        <v>1194</v>
      </c>
      <c r="N98" s="340" t="s">
        <v>1193</v>
      </c>
      <c r="O98" s="340" t="s">
        <v>1192</v>
      </c>
      <c r="P98" s="340" t="s">
        <v>1191</v>
      </c>
      <c r="Q98" s="340" t="s">
        <v>1190</v>
      </c>
      <c r="R98" s="340" t="s">
        <v>1189</v>
      </c>
    </row>
    <row r="99" spans="3:18" hidden="1" outlineLevel="1" x14ac:dyDescent="0.3">
      <c r="C99" s="307">
        <v>2024</v>
      </c>
      <c r="D99" s="307">
        <v>40</v>
      </c>
      <c r="E99" s="307">
        <v>5</v>
      </c>
      <c r="F99" s="307">
        <v>0</v>
      </c>
      <c r="G99" s="307">
        <v>0</v>
      </c>
      <c r="H99" s="307">
        <v>0.97590007294853309</v>
      </c>
      <c r="I99" s="307">
        <v>0.47760556926165926</v>
      </c>
      <c r="J99" s="307">
        <v>1</v>
      </c>
      <c r="K99" s="339">
        <v>15000</v>
      </c>
      <c r="L99" s="339">
        <v>7164.0835389248887</v>
      </c>
      <c r="M99" s="339">
        <v>0</v>
      </c>
      <c r="N99" s="339">
        <v>0</v>
      </c>
      <c r="O99" s="339">
        <v>0.2</v>
      </c>
      <c r="P99" s="339">
        <v>1432.8167077849778</v>
      </c>
      <c r="Q99" s="339">
        <v>0</v>
      </c>
      <c r="R99" s="339">
        <v>0</v>
      </c>
    </row>
    <row r="100" spans="3:18" hidden="1" outlineLevel="1" x14ac:dyDescent="0.3">
      <c r="C100" s="307">
        <v>2025</v>
      </c>
      <c r="D100" s="307">
        <v>41</v>
      </c>
      <c r="E100" s="307">
        <v>6</v>
      </c>
      <c r="F100" s="307">
        <v>0</v>
      </c>
      <c r="G100" s="307">
        <v>0</v>
      </c>
      <c r="H100" s="307">
        <v>0.92942864090336486</v>
      </c>
      <c r="I100" s="307">
        <v>0.49193373633950904</v>
      </c>
      <c r="J100" s="307">
        <v>1.075</v>
      </c>
      <c r="K100" s="339">
        <v>15000</v>
      </c>
      <c r="L100" s="339">
        <v>7932.4314984745833</v>
      </c>
      <c r="M100" s="339">
        <v>0</v>
      </c>
      <c r="N100" s="339">
        <v>0</v>
      </c>
      <c r="O100" s="339">
        <v>0.2</v>
      </c>
      <c r="P100" s="339">
        <v>1586.4862996949169</v>
      </c>
      <c r="Q100" s="339">
        <v>0</v>
      </c>
      <c r="R100" s="339">
        <v>0</v>
      </c>
    </row>
    <row r="101" spans="3:18" hidden="1" outlineLevel="1" x14ac:dyDescent="0.3">
      <c r="C101" s="307">
        <v>2026</v>
      </c>
      <c r="D101" s="307">
        <v>42</v>
      </c>
      <c r="E101" s="307">
        <v>7</v>
      </c>
      <c r="F101" s="307">
        <v>0</v>
      </c>
      <c r="G101" s="307">
        <v>0</v>
      </c>
      <c r="H101" s="307">
        <v>0.88517013419368074</v>
      </c>
      <c r="I101" s="307">
        <v>0.50669174842969433</v>
      </c>
      <c r="J101" s="307">
        <v>1.1529374999999999</v>
      </c>
      <c r="K101" s="339">
        <v>15000</v>
      </c>
      <c r="L101" s="339">
        <v>8762.7587655774114</v>
      </c>
      <c r="M101" s="339">
        <v>0</v>
      </c>
      <c r="N101" s="339">
        <v>0</v>
      </c>
      <c r="O101" s="339">
        <v>0.2</v>
      </c>
      <c r="P101" s="339">
        <v>1752.5517531154824</v>
      </c>
      <c r="Q101" s="339">
        <v>0</v>
      </c>
      <c r="R101" s="339">
        <v>0</v>
      </c>
    </row>
    <row r="102" spans="3:18" hidden="1" outlineLevel="1" x14ac:dyDescent="0.3">
      <c r="C102" s="307">
        <v>2027</v>
      </c>
      <c r="D102" s="307">
        <v>43</v>
      </c>
      <c r="E102" s="307">
        <v>8</v>
      </c>
      <c r="F102" s="307">
        <v>0</v>
      </c>
      <c r="G102" s="307">
        <v>0</v>
      </c>
      <c r="H102" s="307">
        <v>0.843019175422553</v>
      </c>
      <c r="I102" s="307">
        <v>0.52189250088258521</v>
      </c>
      <c r="J102" s="307">
        <v>1.233643125</v>
      </c>
      <c r="K102" s="339">
        <v>15000</v>
      </c>
      <c r="L102" s="339">
        <v>9657.4364355428643</v>
      </c>
      <c r="M102" s="339">
        <v>0</v>
      </c>
      <c r="N102" s="339">
        <v>0</v>
      </c>
      <c r="O102" s="339">
        <v>0.2</v>
      </c>
      <c r="P102" s="339">
        <v>1931.4872871085729</v>
      </c>
      <c r="Q102" s="339">
        <v>0</v>
      </c>
      <c r="R102" s="339">
        <v>0</v>
      </c>
    </row>
    <row r="103" spans="3:18" hidden="1" outlineLevel="1" x14ac:dyDescent="0.3">
      <c r="C103" s="307">
        <v>2028</v>
      </c>
      <c r="D103" s="307">
        <v>44</v>
      </c>
      <c r="E103" s="307">
        <v>9</v>
      </c>
      <c r="F103" s="307">
        <v>0</v>
      </c>
      <c r="G103" s="307">
        <v>0</v>
      </c>
      <c r="H103" s="307">
        <v>0.8028754051643362</v>
      </c>
      <c r="I103" s="307">
        <v>0.53754927590906276</v>
      </c>
      <c r="J103" s="307">
        <v>1.3169140359374998</v>
      </c>
      <c r="K103" s="339">
        <v>15000</v>
      </c>
      <c r="L103" s="339">
        <v>10618.592796790266</v>
      </c>
      <c r="M103" s="339">
        <v>0</v>
      </c>
      <c r="N103" s="339">
        <v>0</v>
      </c>
      <c r="O103" s="339">
        <v>0.2</v>
      </c>
      <c r="P103" s="339">
        <v>2123.7185593580534</v>
      </c>
      <c r="Q103" s="339">
        <v>0</v>
      </c>
      <c r="R103" s="339">
        <v>0</v>
      </c>
    </row>
    <row r="104" spans="3:18" hidden="1" outlineLevel="1" x14ac:dyDescent="0.3">
      <c r="C104" s="307">
        <v>2029</v>
      </c>
      <c r="D104" s="307">
        <v>45</v>
      </c>
      <c r="E104" s="307">
        <v>10</v>
      </c>
      <c r="F104" s="307">
        <v>0</v>
      </c>
      <c r="G104" s="307">
        <v>0</v>
      </c>
      <c r="H104" s="307">
        <v>0.7646432430136535</v>
      </c>
      <c r="I104" s="307">
        <v>0.55367575418633463</v>
      </c>
      <c r="J104" s="307">
        <v>1.4025134482734372</v>
      </c>
      <c r="K104" s="339">
        <v>15000</v>
      </c>
      <c r="L104" s="339">
        <v>11648.065368439082</v>
      </c>
      <c r="M104" s="339">
        <v>0</v>
      </c>
      <c r="N104" s="339">
        <v>0</v>
      </c>
      <c r="O104" s="339">
        <v>0.2</v>
      </c>
      <c r="P104" s="339">
        <v>2329.6130736878163</v>
      </c>
      <c r="Q104" s="339">
        <v>0</v>
      </c>
      <c r="R104" s="339">
        <v>0</v>
      </c>
    </row>
    <row r="105" spans="3:18" hidden="1" outlineLevel="1" x14ac:dyDescent="0.3">
      <c r="C105" s="307">
        <v>2030</v>
      </c>
      <c r="D105" s="307">
        <v>46</v>
      </c>
      <c r="E105" s="307">
        <v>11</v>
      </c>
      <c r="F105" s="307">
        <v>0</v>
      </c>
      <c r="G105" s="307">
        <v>0</v>
      </c>
      <c r="H105" s="307">
        <v>0.72823166001300332</v>
      </c>
      <c r="I105" s="307">
        <v>0.57028602681192464</v>
      </c>
      <c r="J105" s="307">
        <v>1.4901705387905271</v>
      </c>
      <c r="K105" s="339">
        <v>15000</v>
      </c>
      <c r="L105" s="339">
        <v>12747.351537585522</v>
      </c>
      <c r="M105" s="339">
        <v>0</v>
      </c>
      <c r="N105" s="339">
        <v>0</v>
      </c>
      <c r="O105" s="339">
        <v>0.2</v>
      </c>
      <c r="P105" s="339">
        <v>2549.4703075171046</v>
      </c>
      <c r="Q105" s="339">
        <v>0</v>
      </c>
      <c r="R105" s="339">
        <v>0</v>
      </c>
    </row>
    <row r="106" spans="3:18" hidden="1" outlineLevel="1" x14ac:dyDescent="0.3">
      <c r="C106" s="307">
        <v>2031</v>
      </c>
      <c r="D106" s="307">
        <v>47</v>
      </c>
      <c r="E106" s="307">
        <v>12</v>
      </c>
      <c r="F106" s="307">
        <v>0</v>
      </c>
      <c r="G106" s="307">
        <v>0</v>
      </c>
      <c r="H106" s="307">
        <v>0.69355396191714602</v>
      </c>
      <c r="I106" s="307">
        <v>0.58739460761628237</v>
      </c>
      <c r="J106" s="307">
        <v>1.5795807711179588</v>
      </c>
      <c r="K106" s="339">
        <v>15000</v>
      </c>
      <c r="L106" s="339">
        <v>13917.558408735873</v>
      </c>
      <c r="M106" s="339">
        <v>0</v>
      </c>
      <c r="N106" s="339">
        <v>0</v>
      </c>
      <c r="O106" s="339">
        <v>0.2</v>
      </c>
      <c r="P106" s="339">
        <v>2783.5116817471749</v>
      </c>
      <c r="Q106" s="339">
        <v>0</v>
      </c>
      <c r="R106" s="339">
        <v>0</v>
      </c>
    </row>
    <row r="107" spans="3:18" hidden="1" outlineLevel="1" x14ac:dyDescent="0.3">
      <c r="C107" s="307">
        <v>2032</v>
      </c>
      <c r="D107" s="307">
        <v>48</v>
      </c>
      <c r="E107" s="307">
        <v>13</v>
      </c>
      <c r="F107" s="307">
        <v>0</v>
      </c>
      <c r="G107" s="307">
        <v>0</v>
      </c>
      <c r="H107" s="307">
        <v>0.66052758277823431</v>
      </c>
      <c r="I107" s="307">
        <v>0.60501644584477088</v>
      </c>
      <c r="J107" s="307">
        <v>1.6704066654572411</v>
      </c>
      <c r="K107" s="339">
        <v>15000</v>
      </c>
      <c r="L107" s="339">
        <v>15159.352557755328</v>
      </c>
      <c r="M107" s="339">
        <v>0</v>
      </c>
      <c r="N107" s="339">
        <v>0</v>
      </c>
      <c r="O107" s="339">
        <v>0.2</v>
      </c>
      <c r="P107" s="339">
        <v>3031.8705115510656</v>
      </c>
      <c r="Q107" s="339">
        <v>0</v>
      </c>
      <c r="R107" s="339">
        <v>0</v>
      </c>
    </row>
    <row r="108" spans="3:18" hidden="1" outlineLevel="1" x14ac:dyDescent="0.3">
      <c r="C108" s="307">
        <v>2033</v>
      </c>
      <c r="D108" s="307">
        <v>49</v>
      </c>
      <c r="E108" s="307">
        <v>14</v>
      </c>
      <c r="F108" s="307">
        <v>0</v>
      </c>
      <c r="G108" s="307">
        <v>0</v>
      </c>
      <c r="H108" s="307">
        <v>0.62907388836022315</v>
      </c>
      <c r="I108" s="307">
        <v>0.62316693922011401</v>
      </c>
      <c r="J108" s="307">
        <v>1.7622790320573893</v>
      </c>
      <c r="K108" s="339">
        <v>15000</v>
      </c>
      <c r="L108" s="339">
        <v>16472.910456884827</v>
      </c>
      <c r="M108" s="339">
        <v>0</v>
      </c>
      <c r="N108" s="339">
        <v>0</v>
      </c>
      <c r="O108" s="339">
        <v>0.2</v>
      </c>
      <c r="P108" s="339">
        <v>3294.5820913769658</v>
      </c>
      <c r="Q108" s="339">
        <v>0</v>
      </c>
      <c r="R108" s="339">
        <v>0</v>
      </c>
    </row>
    <row r="109" spans="3:18" hidden="1" outlineLevel="1" x14ac:dyDescent="0.3">
      <c r="C109" s="307">
        <v>2034</v>
      </c>
      <c r="D109" s="307">
        <v>50</v>
      </c>
      <c r="E109" s="307">
        <v>15</v>
      </c>
      <c r="F109" s="307">
        <v>0</v>
      </c>
      <c r="G109" s="307">
        <v>0</v>
      </c>
      <c r="H109" s="307">
        <v>0.59911798891449819</v>
      </c>
      <c r="I109" s="307">
        <v>0.64186194739671742</v>
      </c>
      <c r="J109" s="307">
        <v>1.8547986812404023</v>
      </c>
      <c r="K109" s="339">
        <v>15000</v>
      </c>
      <c r="L109" s="339">
        <v>17857.870403547418</v>
      </c>
      <c r="M109" s="339">
        <v>0</v>
      </c>
      <c r="N109" s="339">
        <v>0</v>
      </c>
      <c r="O109" s="339">
        <v>0.2</v>
      </c>
      <c r="P109" s="339">
        <v>3571.574080709484</v>
      </c>
      <c r="Q109" s="339">
        <v>0</v>
      </c>
      <c r="R109" s="339">
        <v>0</v>
      </c>
    </row>
    <row r="110" spans="3:18" hidden="1" outlineLevel="1" x14ac:dyDescent="0.3">
      <c r="C110" s="307">
        <v>2035</v>
      </c>
      <c r="D110" s="307">
        <v>51</v>
      </c>
      <c r="E110" s="307">
        <v>16</v>
      </c>
      <c r="F110" s="307">
        <v>0</v>
      </c>
      <c r="G110" s="307">
        <v>0</v>
      </c>
      <c r="H110" s="307">
        <v>0.57058856087095067</v>
      </c>
      <c r="I110" s="307">
        <v>0.66111780581861901</v>
      </c>
      <c r="J110" s="307">
        <v>1.9475386153024226</v>
      </c>
      <c r="K110" s="339">
        <v>15000</v>
      </c>
      <c r="L110" s="339">
        <v>19313.286841436537</v>
      </c>
      <c r="M110" s="339">
        <v>0</v>
      </c>
      <c r="N110" s="339">
        <v>0</v>
      </c>
      <c r="O110" s="339">
        <v>0.2</v>
      </c>
      <c r="P110" s="339">
        <v>3862.6573682873077</v>
      </c>
      <c r="Q110" s="339">
        <v>0</v>
      </c>
      <c r="R110" s="339">
        <v>0</v>
      </c>
    </row>
    <row r="111" spans="3:18" hidden="1" outlineLevel="1" x14ac:dyDescent="0.3">
      <c r="C111" s="307">
        <v>2036</v>
      </c>
      <c r="D111" s="307">
        <v>52</v>
      </c>
      <c r="E111" s="307">
        <v>17</v>
      </c>
      <c r="F111" s="307">
        <v>0</v>
      </c>
      <c r="G111" s="307">
        <v>0</v>
      </c>
      <c r="H111" s="307">
        <v>0.54341767701995303</v>
      </c>
      <c r="I111" s="307">
        <v>0.68095133999317758</v>
      </c>
      <c r="J111" s="307">
        <v>2.0449155460675437</v>
      </c>
      <c r="K111" s="339">
        <v>15000</v>
      </c>
      <c r="L111" s="339">
        <v>20887.319719013616</v>
      </c>
      <c r="M111" s="339">
        <v>0</v>
      </c>
      <c r="N111" s="339">
        <v>0</v>
      </c>
      <c r="O111" s="339">
        <v>0.2</v>
      </c>
      <c r="P111" s="339">
        <v>4177.4639438027234</v>
      </c>
      <c r="Q111" s="339">
        <v>0</v>
      </c>
      <c r="R111" s="339">
        <v>0</v>
      </c>
    </row>
    <row r="112" spans="3:18" hidden="1" outlineLevel="1" x14ac:dyDescent="0.3">
      <c r="C112" s="307">
        <v>2037</v>
      </c>
      <c r="D112" s="307">
        <v>53</v>
      </c>
      <c r="E112" s="307">
        <v>18</v>
      </c>
      <c r="F112" s="307">
        <v>0</v>
      </c>
      <c r="G112" s="307">
        <v>0</v>
      </c>
      <c r="H112" s="307">
        <v>0.51754064478090767</v>
      </c>
      <c r="I112" s="307">
        <v>0.70137988019297293</v>
      </c>
      <c r="J112" s="307">
        <v>2.1471613233709208</v>
      </c>
      <c r="K112" s="339">
        <v>15000</v>
      </c>
      <c r="L112" s="339">
        <v>22589.636276113226</v>
      </c>
      <c r="M112" s="339">
        <v>0</v>
      </c>
      <c r="N112" s="339">
        <v>0</v>
      </c>
      <c r="O112" s="339">
        <v>0.2</v>
      </c>
      <c r="P112" s="339">
        <v>4517.9272552226457</v>
      </c>
      <c r="Q112" s="339">
        <v>0</v>
      </c>
      <c r="R112" s="339">
        <v>0</v>
      </c>
    </row>
    <row r="113" spans="3:18" hidden="1" outlineLevel="1" x14ac:dyDescent="0.3">
      <c r="C113" s="307">
        <v>2038</v>
      </c>
      <c r="D113" s="307">
        <v>54</v>
      </c>
      <c r="E113" s="307">
        <v>19</v>
      </c>
      <c r="F113" s="307">
        <v>0</v>
      </c>
      <c r="G113" s="307">
        <v>0</v>
      </c>
      <c r="H113" s="307">
        <v>0.49289585217229298</v>
      </c>
      <c r="I113" s="307">
        <v>0.7224212765987621</v>
      </c>
      <c r="J113" s="307">
        <v>2.2545193895394671</v>
      </c>
      <c r="K113" s="339">
        <v>15000</v>
      </c>
      <c r="L113" s="339">
        <v>24430.691632616454</v>
      </c>
      <c r="M113" s="339">
        <v>0</v>
      </c>
      <c r="N113" s="339">
        <v>0</v>
      </c>
      <c r="O113" s="339">
        <v>0.2</v>
      </c>
      <c r="P113" s="339">
        <v>4886.1383265232907</v>
      </c>
      <c r="Q113" s="339">
        <v>0</v>
      </c>
      <c r="R113" s="339">
        <v>0</v>
      </c>
    </row>
    <row r="114" spans="3:18" hidden="1" outlineLevel="1" x14ac:dyDescent="0.3">
      <c r="C114" s="307">
        <v>2039</v>
      </c>
      <c r="D114" s="307">
        <v>55</v>
      </c>
      <c r="E114" s="307">
        <v>20</v>
      </c>
      <c r="F114" s="307">
        <v>1</v>
      </c>
      <c r="G114" s="307">
        <v>8.3657758364132084E-2</v>
      </c>
      <c r="H114" s="307">
        <v>0.46942462111646949</v>
      </c>
      <c r="I114" s="307">
        <v>0.74409391489672494</v>
      </c>
      <c r="J114" s="307">
        <v>2.3672453590164406</v>
      </c>
      <c r="K114" s="339">
        <v>15000</v>
      </c>
      <c r="L114" s="339">
        <v>26421.793000674697</v>
      </c>
      <c r="M114" s="339">
        <v>2210.3879743975604</v>
      </c>
      <c r="N114" s="339">
        <v>1037.6105374019753</v>
      </c>
      <c r="O114" s="339">
        <v>0.2</v>
      </c>
      <c r="P114" s="339">
        <v>5284.3586001349395</v>
      </c>
      <c r="Q114" s="339">
        <v>442.07759487951205</v>
      </c>
      <c r="R114" s="339">
        <v>207.52210748039502</v>
      </c>
    </row>
    <row r="115" spans="3:18" hidden="1" outlineLevel="1" x14ac:dyDescent="0.3">
      <c r="C115" s="307">
        <v>2040</v>
      </c>
      <c r="D115" s="307">
        <v>56</v>
      </c>
      <c r="E115" s="307">
        <v>21</v>
      </c>
      <c r="F115" s="307">
        <v>1</v>
      </c>
      <c r="G115" s="307">
        <v>8.3436081009928664E-2</v>
      </c>
      <c r="H115" s="307">
        <v>0.44707106772997091</v>
      </c>
      <c r="I115" s="307">
        <v>0.76641673234362673</v>
      </c>
      <c r="J115" s="307">
        <v>2.4856076269672629</v>
      </c>
      <c r="K115" s="339">
        <v>15000</v>
      </c>
      <c r="L115" s="339">
        <v>28575.169130229689</v>
      </c>
      <c r="M115" s="339">
        <v>2384.2001264222572</v>
      </c>
      <c r="N115" s="339">
        <v>1065.9068962015301</v>
      </c>
      <c r="O115" s="339">
        <v>0.2</v>
      </c>
      <c r="P115" s="339">
        <v>5715.0338260459384</v>
      </c>
      <c r="Q115" s="339">
        <v>476.84002528445149</v>
      </c>
      <c r="R115" s="339">
        <v>213.18137924030606</v>
      </c>
    </row>
    <row r="116" spans="3:18" hidden="1" outlineLevel="1" x14ac:dyDescent="0.3">
      <c r="C116" s="307">
        <v>2041</v>
      </c>
      <c r="D116" s="307">
        <v>57</v>
      </c>
      <c r="E116" s="307">
        <v>22</v>
      </c>
      <c r="F116" s="307">
        <v>1</v>
      </c>
      <c r="G116" s="307">
        <v>8.3189962117090982E-2</v>
      </c>
      <c r="H116" s="307">
        <v>0.42578196926663892</v>
      </c>
      <c r="I116" s="307">
        <v>0.7894092343139355</v>
      </c>
      <c r="J116" s="307">
        <v>2.6098880083156262</v>
      </c>
      <c r="K116" s="339">
        <v>15000</v>
      </c>
      <c r="L116" s="339">
        <v>30904.045414343407</v>
      </c>
      <c r="M116" s="339">
        <v>2570.9063672840875</v>
      </c>
      <c r="N116" s="339">
        <v>1094.6455758623597</v>
      </c>
      <c r="O116" s="339">
        <v>0.2</v>
      </c>
      <c r="P116" s="339">
        <v>6180.8090828686818</v>
      </c>
      <c r="Q116" s="339">
        <v>514.18127345681751</v>
      </c>
      <c r="R116" s="339">
        <v>218.92911517247194</v>
      </c>
    </row>
    <row r="117" spans="3:18" hidden="1" outlineLevel="1" x14ac:dyDescent="0.3">
      <c r="C117" s="307">
        <v>2042</v>
      </c>
      <c r="D117" s="307">
        <v>58</v>
      </c>
      <c r="E117" s="307">
        <v>23</v>
      </c>
      <c r="F117" s="307">
        <v>1</v>
      </c>
      <c r="G117" s="307">
        <v>8.291961411190274E-2</v>
      </c>
      <c r="H117" s="307">
        <v>0.40550663739679893</v>
      </c>
      <c r="I117" s="307">
        <v>0.81309151134335356</v>
      </c>
      <c r="J117" s="307">
        <v>2.7403824087314077</v>
      </c>
      <c r="K117" s="339">
        <v>15000</v>
      </c>
      <c r="L117" s="339">
        <v>33422.725115612397</v>
      </c>
      <c r="M117" s="339">
        <v>2771.39946915478</v>
      </c>
      <c r="N117" s="339">
        <v>1123.8208796202284</v>
      </c>
      <c r="O117" s="339">
        <v>0.2</v>
      </c>
      <c r="P117" s="339">
        <v>6684.5450231224795</v>
      </c>
      <c r="Q117" s="339">
        <v>554.27989383095598</v>
      </c>
      <c r="R117" s="339">
        <v>224.76417592404567</v>
      </c>
    </row>
    <row r="118" spans="3:18" hidden="1" outlineLevel="1" x14ac:dyDescent="0.3">
      <c r="C118" s="307">
        <v>2043</v>
      </c>
      <c r="D118" s="307">
        <v>59</v>
      </c>
      <c r="E118" s="307">
        <v>24</v>
      </c>
      <c r="F118" s="307">
        <v>1</v>
      </c>
      <c r="G118" s="307">
        <v>8.2621131741777848E-2</v>
      </c>
      <c r="H118" s="307">
        <v>0.38619679752076086</v>
      </c>
      <c r="I118" s="307">
        <v>0.83748425668365423</v>
      </c>
      <c r="J118" s="307">
        <v>2.8774015291679782</v>
      </c>
      <c r="K118" s="339">
        <v>15000</v>
      </c>
      <c r="L118" s="339">
        <v>36146.677212534814</v>
      </c>
      <c r="M118" s="339">
        <v>2986.4793800043581</v>
      </c>
      <c r="N118" s="339">
        <v>1153.3687724194706</v>
      </c>
      <c r="O118" s="339">
        <v>0.2</v>
      </c>
      <c r="P118" s="339">
        <v>7229.3354425069629</v>
      </c>
      <c r="Q118" s="339">
        <v>597.29587600087166</v>
      </c>
      <c r="R118" s="339">
        <v>230.67375448389413</v>
      </c>
    </row>
    <row r="119" spans="3:18" hidden="1" outlineLevel="1" x14ac:dyDescent="0.3">
      <c r="C119" s="307">
        <v>2044</v>
      </c>
      <c r="D119" s="307">
        <v>60</v>
      </c>
      <c r="E119" s="307">
        <v>25</v>
      </c>
      <c r="F119" s="307">
        <v>1</v>
      </c>
      <c r="G119" s="307">
        <v>8.2290678670606812E-2</v>
      </c>
      <c r="H119" s="307">
        <v>0.36780647382929604</v>
      </c>
      <c r="I119" s="307">
        <v>0.86260878438416388</v>
      </c>
      <c r="J119" s="307">
        <v>3.0212716056263771</v>
      </c>
      <c r="K119" s="339">
        <v>15000</v>
      </c>
      <c r="L119" s="339">
        <v>39092.631405356406</v>
      </c>
      <c r="M119" s="339">
        <v>3216.9591693666562</v>
      </c>
      <c r="N119" s="339">
        <v>1183.2184085375709</v>
      </c>
      <c r="O119" s="339">
        <v>0.2</v>
      </c>
      <c r="P119" s="339">
        <v>7818.5262810712811</v>
      </c>
      <c r="Q119" s="339">
        <v>643.39183387333128</v>
      </c>
      <c r="R119" s="339">
        <v>236.64368170751422</v>
      </c>
    </row>
    <row r="120" spans="3:18" hidden="1" outlineLevel="1" x14ac:dyDescent="0.3">
      <c r="C120" s="307">
        <v>2045</v>
      </c>
      <c r="D120" s="307">
        <v>61</v>
      </c>
      <c r="E120" s="307">
        <v>26</v>
      </c>
      <c r="F120" s="307">
        <v>1</v>
      </c>
      <c r="G120" s="307">
        <v>8.1924528444045311E-2</v>
      </c>
      <c r="H120" s="307">
        <v>0.35029187983742477</v>
      </c>
      <c r="I120" s="307">
        <v>0.88848704791568878</v>
      </c>
      <c r="J120" s="307">
        <v>3.1723351859076963</v>
      </c>
      <c r="K120" s="339">
        <v>15000</v>
      </c>
      <c r="L120" s="339">
        <v>42278.680864892951</v>
      </c>
      <c r="M120" s="339">
        <v>3463.6609930926365</v>
      </c>
      <c r="N120" s="339">
        <v>1213.2923203899811</v>
      </c>
      <c r="O120" s="339">
        <v>0.2</v>
      </c>
      <c r="P120" s="339">
        <v>8455.7361729785898</v>
      </c>
      <c r="Q120" s="339">
        <v>692.73219861852738</v>
      </c>
      <c r="R120" s="339">
        <v>242.65846407799626</v>
      </c>
    </row>
    <row r="121" spans="3:18" hidden="1" outlineLevel="1" x14ac:dyDescent="0.3">
      <c r="C121" s="307">
        <v>2046</v>
      </c>
      <c r="D121" s="307">
        <v>62</v>
      </c>
      <c r="E121" s="307">
        <v>27</v>
      </c>
      <c r="F121" s="307">
        <v>1</v>
      </c>
      <c r="G121" s="307">
        <v>0.30155919348843885</v>
      </c>
      <c r="H121" s="307">
        <v>0.33361131413088074</v>
      </c>
      <c r="I121" s="307">
        <v>0.9151416593531595</v>
      </c>
      <c r="J121" s="307">
        <v>3.3309519452030814</v>
      </c>
      <c r="K121" s="339">
        <v>15000</v>
      </c>
      <c r="L121" s="339">
        <v>45724.393355381733</v>
      </c>
      <c r="M121" s="339">
        <v>13788.611182997047</v>
      </c>
      <c r="N121" s="339">
        <v>4600.0366967994032</v>
      </c>
      <c r="O121" s="339">
        <v>0.2</v>
      </c>
      <c r="P121" s="339">
        <v>9144.878671076347</v>
      </c>
      <c r="Q121" s="339">
        <v>2757.7222365994098</v>
      </c>
      <c r="R121" s="339">
        <v>920.00733935988069</v>
      </c>
    </row>
    <row r="122" spans="3:18" hidden="1" outlineLevel="1" x14ac:dyDescent="0.3">
      <c r="C122" s="307">
        <v>2047</v>
      </c>
      <c r="D122" s="307">
        <v>63</v>
      </c>
      <c r="E122" s="307">
        <v>28</v>
      </c>
      <c r="F122" s="307">
        <v>1</v>
      </c>
      <c r="G122" s="307">
        <v>0.45273876053242179</v>
      </c>
      <c r="H122" s="307">
        <v>0.31772506107702925</v>
      </c>
      <c r="I122" s="307">
        <v>0.94259590913375435</v>
      </c>
      <c r="J122" s="307">
        <v>3.4974995424632356</v>
      </c>
      <c r="K122" s="339">
        <v>15000</v>
      </c>
      <c r="L122" s="339">
        <v>49450.931413845356</v>
      </c>
      <c r="M122" s="339">
        <v>22388.353395478145</v>
      </c>
      <c r="N122" s="339">
        <v>7113.3409499924092</v>
      </c>
      <c r="O122" s="339">
        <v>0.2</v>
      </c>
      <c r="P122" s="339">
        <v>9890.1862827690711</v>
      </c>
      <c r="Q122" s="339">
        <v>4477.6706790956296</v>
      </c>
      <c r="R122" s="339">
        <v>1422.6681899984819</v>
      </c>
    </row>
    <row r="123" spans="3:18" hidden="1" outlineLevel="1" x14ac:dyDescent="0.3">
      <c r="C123" s="307">
        <v>2048</v>
      </c>
      <c r="D123" s="307">
        <v>64</v>
      </c>
      <c r="E123" s="307">
        <v>29</v>
      </c>
      <c r="F123" s="307">
        <v>1</v>
      </c>
      <c r="G123" s="307">
        <v>0.52068955064672595</v>
      </c>
      <c r="H123" s="307">
        <v>0.30259529626383735</v>
      </c>
      <c r="I123" s="307">
        <v>0.970873786407767</v>
      </c>
      <c r="J123" s="307">
        <v>3.6723745195863975</v>
      </c>
      <c r="K123" s="339">
        <v>15000</v>
      </c>
      <c r="L123" s="339">
        <v>53481.18232407375</v>
      </c>
      <c r="M123" s="339">
        <v>27847.092792377585</v>
      </c>
      <c r="N123" s="339">
        <v>8426.399293596065</v>
      </c>
      <c r="O123" s="339">
        <v>0.2</v>
      </c>
      <c r="P123" s="339">
        <v>10696.23646481475</v>
      </c>
      <c r="Q123" s="339">
        <v>5569.4185584755169</v>
      </c>
      <c r="R123" s="339">
        <v>1685.2798587192131</v>
      </c>
    </row>
    <row r="124" spans="3:18" hidden="1" outlineLevel="1" x14ac:dyDescent="0.3">
      <c r="C124" s="307">
        <v>2049</v>
      </c>
      <c r="D124" s="307">
        <v>65</v>
      </c>
      <c r="E124" s="307">
        <v>30</v>
      </c>
      <c r="F124" s="307">
        <v>1</v>
      </c>
      <c r="G124" s="307">
        <v>0.79766257984514588</v>
      </c>
      <c r="H124" s="307">
        <v>0.28818599644174986</v>
      </c>
      <c r="I124" s="307">
        <v>1</v>
      </c>
      <c r="J124" s="307">
        <v>3.8559932455657173</v>
      </c>
      <c r="K124" s="339">
        <v>2100</v>
      </c>
      <c r="L124" s="339">
        <v>8097.5858156880067</v>
      </c>
      <c r="M124" s="339">
        <v>6459.1411922591551</v>
      </c>
      <c r="N124" s="339">
        <v>1861.4340406491567</v>
      </c>
      <c r="O124" s="339">
        <v>0.2</v>
      </c>
      <c r="P124" s="339">
        <v>1619.5171631376015</v>
      </c>
      <c r="Q124" s="339">
        <v>1291.8282384518313</v>
      </c>
      <c r="R124" s="339">
        <v>372.28680812983146</v>
      </c>
    </row>
    <row r="125" spans="3:18" hidden="1" outlineLevel="1" x14ac:dyDescent="0.3">
      <c r="C125" s="307">
        <v>2050</v>
      </c>
      <c r="D125" s="307">
        <v>66</v>
      </c>
      <c r="E125" s="307">
        <v>31</v>
      </c>
      <c r="F125" s="307">
        <v>1</v>
      </c>
      <c r="G125" s="307">
        <v>0.79172098825197978</v>
      </c>
      <c r="H125" s="307">
        <v>0.2744628537540475</v>
      </c>
      <c r="I125" s="307">
        <v>1.0249999999999999</v>
      </c>
      <c r="J125" s="307">
        <v>4.0487929078440033</v>
      </c>
      <c r="K125" s="339">
        <v>2100</v>
      </c>
      <c r="L125" s="339">
        <v>8715.0267341342169</v>
      </c>
      <c r="M125" s="339">
        <v>6899.8695785911659</v>
      </c>
      <c r="N125" s="339">
        <v>1893.7578950708685</v>
      </c>
      <c r="O125" s="339">
        <v>0.2</v>
      </c>
      <c r="P125" s="339">
        <v>1743.0053468268434</v>
      </c>
      <c r="Q125" s="339">
        <v>1379.9739157182332</v>
      </c>
      <c r="R125" s="339">
        <v>378.75157901417373</v>
      </c>
    </row>
    <row r="126" spans="3:18" hidden="1" outlineLevel="1" x14ac:dyDescent="0.3">
      <c r="C126" s="307">
        <v>2051</v>
      </c>
      <c r="D126" s="307">
        <v>67</v>
      </c>
      <c r="E126" s="307">
        <v>32</v>
      </c>
      <c r="F126" s="307">
        <v>1</v>
      </c>
      <c r="G126" s="307">
        <v>0.78519068500938616</v>
      </c>
      <c r="H126" s="307">
        <v>0.26139319405147382</v>
      </c>
      <c r="I126" s="307">
        <v>1.0506249999999999</v>
      </c>
      <c r="J126" s="307">
        <v>4.2512325532362034</v>
      </c>
      <c r="K126" s="339">
        <v>2100</v>
      </c>
      <c r="L126" s="339">
        <v>9379.5475226119506</v>
      </c>
      <c r="M126" s="339">
        <v>7364.7333443577681</v>
      </c>
      <c r="N126" s="339">
        <v>1925.0911722190699</v>
      </c>
      <c r="O126" s="339">
        <v>0.2</v>
      </c>
      <c r="P126" s="339">
        <v>1875.9095045223903</v>
      </c>
      <c r="Q126" s="339">
        <v>1472.9466688715538</v>
      </c>
      <c r="R126" s="339">
        <v>385.01823444381404</v>
      </c>
    </row>
    <row r="127" spans="3:18" hidden="1" outlineLevel="1" x14ac:dyDescent="0.3">
      <c r="C127" s="307">
        <v>2052</v>
      </c>
      <c r="D127" s="307">
        <v>68</v>
      </c>
      <c r="E127" s="307">
        <v>33</v>
      </c>
      <c r="F127" s="307">
        <v>1</v>
      </c>
      <c r="G127" s="307">
        <v>0.77796864595838189</v>
      </c>
      <c r="H127" s="307">
        <v>0.24894589909664172</v>
      </c>
      <c r="I127" s="307">
        <v>1.0768906249999999</v>
      </c>
      <c r="J127" s="307">
        <v>4.4637941808980139</v>
      </c>
      <c r="K127" s="339">
        <v>2100</v>
      </c>
      <c r="L127" s="339">
        <v>10094.738021211113</v>
      </c>
      <c r="M127" s="339">
        <v>7853.389669666205</v>
      </c>
      <c r="N127" s="339">
        <v>1955.0691522713316</v>
      </c>
      <c r="O127" s="339">
        <v>0.2</v>
      </c>
      <c r="P127" s="339">
        <v>2018.9476042422227</v>
      </c>
      <c r="Q127" s="339">
        <v>1570.6779339332411</v>
      </c>
      <c r="R127" s="339">
        <v>391.01383045426633</v>
      </c>
    </row>
    <row r="128" spans="3:18" hidden="1" outlineLevel="1" x14ac:dyDescent="0.3">
      <c r="C128" s="307">
        <v>2053</v>
      </c>
      <c r="D128" s="307">
        <v>69</v>
      </c>
      <c r="E128" s="307">
        <v>34</v>
      </c>
      <c r="F128" s="307">
        <v>1</v>
      </c>
      <c r="G128" s="307">
        <v>0.76995784382714261</v>
      </c>
      <c r="H128" s="307">
        <v>0.23709133247299211</v>
      </c>
      <c r="I128" s="307">
        <v>1.1038128906249998</v>
      </c>
      <c r="J128" s="307">
        <v>4.6869838899429146</v>
      </c>
      <c r="K128" s="339">
        <v>2100</v>
      </c>
      <c r="L128" s="339">
        <v>10864.46179532846</v>
      </c>
      <c r="M128" s="339">
        <v>8365.1775782734676</v>
      </c>
      <c r="N128" s="339">
        <v>1983.3110984060536</v>
      </c>
      <c r="O128" s="339">
        <v>0.2</v>
      </c>
      <c r="P128" s="339">
        <v>2172.8923590656918</v>
      </c>
      <c r="Q128" s="339">
        <v>1673.0355156546934</v>
      </c>
      <c r="R128" s="339">
        <v>396.66221968121073</v>
      </c>
    </row>
    <row r="129" spans="3:18" hidden="1" outlineLevel="1" x14ac:dyDescent="0.3">
      <c r="C129" s="307">
        <v>2054</v>
      </c>
      <c r="D129" s="307">
        <v>70</v>
      </c>
      <c r="E129" s="307">
        <v>35</v>
      </c>
      <c r="F129" s="307">
        <v>1</v>
      </c>
      <c r="G129" s="307">
        <v>0.76099099939548975</v>
      </c>
      <c r="H129" s="307">
        <v>0.22580126902189723</v>
      </c>
      <c r="I129" s="307">
        <v>1.1314082128906247</v>
      </c>
      <c r="J129" s="307">
        <v>4.9213330844400609</v>
      </c>
      <c r="K129" s="339">
        <v>2100</v>
      </c>
      <c r="L129" s="339">
        <v>11692.877007222254</v>
      </c>
      <c r="M129" s="339">
        <v>8898.1741595346066</v>
      </c>
      <c r="N129" s="339">
        <v>2009.2190172007681</v>
      </c>
      <c r="O129" s="339">
        <v>0.2</v>
      </c>
      <c r="P129" s="339">
        <v>2338.575401444451</v>
      </c>
      <c r="Q129" s="339">
        <v>1779.6348319069214</v>
      </c>
      <c r="R129" s="339">
        <v>401.84380344015364</v>
      </c>
    </row>
    <row r="130" spans="3:18" hidden="1" outlineLevel="1" x14ac:dyDescent="0.3">
      <c r="C130" s="307">
        <v>2055</v>
      </c>
      <c r="D130" s="307">
        <v>71</v>
      </c>
      <c r="E130" s="307">
        <v>36</v>
      </c>
      <c r="F130" s="307">
        <v>1</v>
      </c>
      <c r="G130" s="307">
        <v>0.75091190409580877</v>
      </c>
      <c r="H130" s="307">
        <v>0.21504882763990213</v>
      </c>
      <c r="I130" s="307">
        <v>1.1540363771484372</v>
      </c>
      <c r="J130" s="307">
        <v>5.1673997386620645</v>
      </c>
      <c r="K130" s="339">
        <v>2100</v>
      </c>
      <c r="L130" s="339">
        <v>12523.071274735035</v>
      </c>
      <c r="M130" s="339">
        <v>9403.7232960388119</v>
      </c>
      <c r="N130" s="339">
        <v>2022.2596702631829</v>
      </c>
      <c r="O130" s="339">
        <v>0.2</v>
      </c>
      <c r="P130" s="339">
        <v>2504.6142549470073</v>
      </c>
      <c r="Q130" s="339">
        <v>1880.7446592077627</v>
      </c>
      <c r="R130" s="339">
        <v>404.4519340526366</v>
      </c>
    </row>
    <row r="131" spans="3:18" hidden="1" outlineLevel="1" x14ac:dyDescent="0.3">
      <c r="C131" s="307">
        <v>2056</v>
      </c>
      <c r="D131" s="307">
        <v>72</v>
      </c>
      <c r="E131" s="307">
        <v>37</v>
      </c>
      <c r="F131" s="307">
        <v>1</v>
      </c>
      <c r="G131" s="307">
        <v>0.73954118684067538</v>
      </c>
      <c r="H131" s="307">
        <v>0.20480840727609725</v>
      </c>
      <c r="I131" s="307">
        <v>1.177117104691406</v>
      </c>
      <c r="J131" s="307">
        <v>5.4257697255951678</v>
      </c>
      <c r="K131" s="339">
        <v>2100</v>
      </c>
      <c r="L131" s="339">
        <v>13412.209335241223</v>
      </c>
      <c r="M131" s="339">
        <v>9918.8812099398801</v>
      </c>
      <c r="N131" s="339">
        <v>2031.4702625685952</v>
      </c>
      <c r="O131" s="339">
        <v>0.2</v>
      </c>
      <c r="P131" s="339">
        <v>2682.4418670482446</v>
      </c>
      <c r="Q131" s="339">
        <v>1983.7762419879759</v>
      </c>
      <c r="R131" s="339">
        <v>406.29405251371907</v>
      </c>
    </row>
    <row r="132" spans="3:18" hidden="1" outlineLevel="1" x14ac:dyDescent="0.3">
      <c r="C132" s="307">
        <v>2057</v>
      </c>
      <c r="D132" s="307">
        <v>73</v>
      </c>
      <c r="E132" s="307">
        <v>38</v>
      </c>
      <c r="F132" s="307">
        <v>1</v>
      </c>
      <c r="G132" s="307">
        <v>0.72671709233030368</v>
      </c>
      <c r="H132" s="307">
        <v>0.19505562597723547</v>
      </c>
      <c r="I132" s="307">
        <v>1.2006594467852341</v>
      </c>
      <c r="J132" s="307">
        <v>5.6970582118749267</v>
      </c>
      <c r="K132" s="339">
        <v>2100</v>
      </c>
      <c r="L132" s="339">
        <v>14364.47619804335</v>
      </c>
      <c r="M132" s="339">
        <v>10438.910375489919</v>
      </c>
      <c r="N132" s="339">
        <v>2036.1681978114443</v>
      </c>
      <c r="O132" s="339">
        <v>0.2</v>
      </c>
      <c r="P132" s="339">
        <v>2872.8952396086702</v>
      </c>
      <c r="Q132" s="339">
        <v>2087.782075097984</v>
      </c>
      <c r="R132" s="339">
        <v>407.23363956228889</v>
      </c>
    </row>
    <row r="133" spans="3:18" hidden="1" outlineLevel="1" x14ac:dyDescent="0.3">
      <c r="C133" s="307">
        <v>2058</v>
      </c>
      <c r="D133" s="307">
        <v>74</v>
      </c>
      <c r="E133" s="307">
        <v>39</v>
      </c>
      <c r="F133" s="307">
        <v>1</v>
      </c>
      <c r="G133" s="307">
        <v>0.71233691426354162</v>
      </c>
      <c r="H133" s="307">
        <v>0.18576726283546235</v>
      </c>
      <c r="I133" s="307">
        <v>1.2246726357209388</v>
      </c>
      <c r="J133" s="307">
        <v>5.9819111224686736</v>
      </c>
      <c r="K133" s="339">
        <v>2100</v>
      </c>
      <c r="L133" s="339">
        <v>15384.35400810443</v>
      </c>
      <c r="M133" s="339">
        <v>10958.843262071059</v>
      </c>
      <c r="N133" s="339">
        <v>2035.7943166377902</v>
      </c>
      <c r="O133" s="339">
        <v>0.2</v>
      </c>
      <c r="P133" s="339">
        <v>3076.8708016208861</v>
      </c>
      <c r="Q133" s="339">
        <v>2191.7686524142118</v>
      </c>
      <c r="R133" s="339">
        <v>407.15886332755804</v>
      </c>
    </row>
    <row r="134" spans="3:18" hidden="1" outlineLevel="1" x14ac:dyDescent="0.3">
      <c r="C134" s="307">
        <v>2059</v>
      </c>
      <c r="D134" s="307">
        <v>75</v>
      </c>
      <c r="E134" s="307">
        <v>40</v>
      </c>
      <c r="F134" s="307">
        <v>1</v>
      </c>
      <c r="G134" s="307">
        <v>0.69628473000971236</v>
      </c>
      <c r="H134" s="307">
        <v>0.17692120270044032</v>
      </c>
      <c r="I134" s="307">
        <v>1.2491660884353575</v>
      </c>
      <c r="J134" s="307">
        <v>6.2810066785921075</v>
      </c>
      <c r="K134" s="339">
        <v>2100</v>
      </c>
      <c r="L134" s="339">
        <v>16476.643142679844</v>
      </c>
      <c r="M134" s="339">
        <v>11472.435022067215</v>
      </c>
      <c r="N134" s="339">
        <v>2029.7170020067842</v>
      </c>
      <c r="O134" s="339">
        <v>0.2</v>
      </c>
      <c r="P134" s="339">
        <v>3295.3286285359691</v>
      </c>
      <c r="Q134" s="339">
        <v>2294.4870044134427</v>
      </c>
      <c r="R134" s="339">
        <v>405.94340040135677</v>
      </c>
    </row>
    <row r="135" spans="3:18" hidden="1" outlineLevel="1" x14ac:dyDescent="0.3">
      <c r="C135" s="307">
        <v>2060</v>
      </c>
      <c r="D135" s="307">
        <v>76</v>
      </c>
      <c r="E135" s="307">
        <v>41</v>
      </c>
      <c r="F135" s="307">
        <v>1</v>
      </c>
      <c r="G135" s="307">
        <v>0.67847337196075141</v>
      </c>
      <c r="H135" s="307">
        <v>0.16849638352422885</v>
      </c>
      <c r="I135" s="307">
        <v>1.2679035797618876</v>
      </c>
      <c r="J135" s="307">
        <v>6.5950570125217132</v>
      </c>
      <c r="K135" s="339">
        <v>2100</v>
      </c>
      <c r="L135" s="339">
        <v>17559.982429311043</v>
      </c>
      <c r="M135" s="339">
        <v>11913.980490386211</v>
      </c>
      <c r="N135" s="339">
        <v>2007.4626260082953</v>
      </c>
      <c r="O135" s="339">
        <v>0.2</v>
      </c>
      <c r="P135" s="339">
        <v>3511.9964858622088</v>
      </c>
      <c r="Q135" s="339">
        <v>2382.7960980772423</v>
      </c>
      <c r="R135" s="339">
        <v>401.49252520165902</v>
      </c>
    </row>
    <row r="136" spans="3:18" hidden="1" outlineLevel="1" x14ac:dyDescent="0.3">
      <c r="C136" s="307">
        <v>2061</v>
      </c>
      <c r="D136" s="307">
        <v>77</v>
      </c>
      <c r="E136" s="307">
        <v>42</v>
      </c>
      <c r="F136" s="307">
        <v>1</v>
      </c>
      <c r="G136" s="307">
        <v>0.65884793814485254</v>
      </c>
      <c r="H136" s="307">
        <v>0.16047274621355129</v>
      </c>
      <c r="I136" s="307">
        <v>1.2869221334583159</v>
      </c>
      <c r="J136" s="307">
        <v>6.9248098631477992</v>
      </c>
      <c r="K136" s="339">
        <v>2100</v>
      </c>
      <c r="L136" s="339">
        <v>18714.551274038244</v>
      </c>
      <c r="M136" s="339">
        <v>12330.04352020622</v>
      </c>
      <c r="N136" s="339">
        <v>1978.6359446200952</v>
      </c>
      <c r="O136" s="339">
        <v>0.2</v>
      </c>
      <c r="P136" s="339">
        <v>3742.9102548076489</v>
      </c>
      <c r="Q136" s="339">
        <v>2466.0087040412441</v>
      </c>
      <c r="R136" s="339">
        <v>395.72718892401906</v>
      </c>
    </row>
    <row r="137" spans="3:18" hidden="1" outlineLevel="1" x14ac:dyDescent="0.3">
      <c r="C137" s="307">
        <v>2062</v>
      </c>
      <c r="D137" s="307">
        <v>78</v>
      </c>
      <c r="E137" s="307">
        <v>43</v>
      </c>
      <c r="F137" s="307">
        <v>1</v>
      </c>
      <c r="G137" s="307">
        <v>0.63738901021444172</v>
      </c>
      <c r="H137" s="307">
        <v>0.15283118687004885</v>
      </c>
      <c r="I137" s="307">
        <v>1.3062259654601904</v>
      </c>
      <c r="J137" s="307">
        <v>7.2710503563051896</v>
      </c>
      <c r="K137" s="339">
        <v>2100</v>
      </c>
      <c r="L137" s="339">
        <v>19945.033020306255</v>
      </c>
      <c r="M137" s="339">
        <v>12712.744855507361</v>
      </c>
      <c r="N137" s="339">
        <v>1942.9038846432975</v>
      </c>
      <c r="O137" s="339">
        <v>0.2</v>
      </c>
      <c r="P137" s="339">
        <v>3989.006604061251</v>
      </c>
      <c r="Q137" s="339">
        <v>2542.548971101472</v>
      </c>
      <c r="R137" s="339">
        <v>388.58077692865947</v>
      </c>
    </row>
    <row r="138" spans="3:18" hidden="1" outlineLevel="1" x14ac:dyDescent="0.3">
      <c r="C138" s="307">
        <v>2063</v>
      </c>
      <c r="D138" s="307">
        <v>79</v>
      </c>
      <c r="E138" s="307">
        <v>44</v>
      </c>
      <c r="F138" s="307">
        <v>1</v>
      </c>
      <c r="G138" s="307">
        <v>0.61414668724683197</v>
      </c>
      <c r="H138" s="307">
        <v>0.14555351130480843</v>
      </c>
      <c r="I138" s="307">
        <v>1.3258193549420931</v>
      </c>
      <c r="J138" s="307">
        <v>7.634602874120449</v>
      </c>
      <c r="K138" s="339">
        <v>2100</v>
      </c>
      <c r="L138" s="339">
        <v>21256.418941391392</v>
      </c>
      <c r="M138" s="339">
        <v>13054.559275586334</v>
      </c>
      <c r="N138" s="339">
        <v>1900.1369410983473</v>
      </c>
      <c r="O138" s="339">
        <v>0.2</v>
      </c>
      <c r="P138" s="339">
        <v>4251.2837882782787</v>
      </c>
      <c r="Q138" s="339">
        <v>2610.9118551172669</v>
      </c>
      <c r="R138" s="339">
        <v>380.02738821966943</v>
      </c>
    </row>
    <row r="139" spans="3:18" hidden="1" outlineLevel="1" x14ac:dyDescent="0.3">
      <c r="C139" s="307">
        <v>2064</v>
      </c>
      <c r="D139" s="307">
        <v>80</v>
      </c>
      <c r="E139" s="307">
        <v>45</v>
      </c>
      <c r="F139" s="307">
        <v>1</v>
      </c>
      <c r="G139" s="307">
        <v>0.58917743669067546</v>
      </c>
      <c r="H139" s="307">
        <v>0.13862239171886517</v>
      </c>
      <c r="I139" s="307">
        <v>1.3457066452662243</v>
      </c>
      <c r="J139" s="307">
        <v>8.0163330178264722</v>
      </c>
      <c r="K139" s="339">
        <v>2100</v>
      </c>
      <c r="L139" s="339">
        <v>22654.028486787869</v>
      </c>
      <c r="M139" s="339">
        <v>13347.242434563219</v>
      </c>
      <c r="N139" s="339">
        <v>1850.2266691306822</v>
      </c>
      <c r="O139" s="339">
        <v>0.2</v>
      </c>
      <c r="P139" s="339">
        <v>4530.805697357574</v>
      </c>
      <c r="Q139" s="339">
        <v>2669.4484869126436</v>
      </c>
      <c r="R139" s="339">
        <v>370.04533382613641</v>
      </c>
    </row>
    <row r="140" spans="3:18" hidden="1" outlineLevel="1" x14ac:dyDescent="0.3">
      <c r="C140" s="307">
        <v>2065</v>
      </c>
      <c r="D140" s="307">
        <v>81</v>
      </c>
      <c r="E140" s="307">
        <v>46</v>
      </c>
      <c r="F140" s="307">
        <v>1</v>
      </c>
      <c r="G140" s="307">
        <v>0.5625186945210614</v>
      </c>
      <c r="H140" s="307">
        <v>0.13202132544653825</v>
      </c>
      <c r="I140" s="307">
        <v>1.3591637117188866</v>
      </c>
      <c r="J140" s="307">
        <v>8.417149668717796</v>
      </c>
      <c r="K140" s="339">
        <v>2100</v>
      </c>
      <c r="L140" s="339">
        <v>24024.597210238542</v>
      </c>
      <c r="M140" s="339">
        <v>13514.285059097718</v>
      </c>
      <c r="N140" s="339">
        <v>1784.1738259644292</v>
      </c>
      <c r="O140" s="339">
        <v>0.2</v>
      </c>
      <c r="P140" s="339">
        <v>4804.9194420477088</v>
      </c>
      <c r="Q140" s="339">
        <v>2702.8570118195439</v>
      </c>
      <c r="R140" s="339">
        <v>356.83476519288587</v>
      </c>
    </row>
    <row r="141" spans="3:18" hidden="1" outlineLevel="1" x14ac:dyDescent="0.3">
      <c r="C141" s="307">
        <v>2066</v>
      </c>
      <c r="D141" s="307">
        <v>82</v>
      </c>
      <c r="E141" s="307">
        <v>47</v>
      </c>
      <c r="F141" s="307">
        <v>1</v>
      </c>
      <c r="G141" s="307">
        <v>0.534314615711035</v>
      </c>
      <c r="H141" s="307">
        <v>0.12573459566336975</v>
      </c>
      <c r="I141" s="307">
        <v>1.3727553488360755</v>
      </c>
      <c r="J141" s="307">
        <v>8.8380071521536863</v>
      </c>
      <c r="K141" s="339">
        <v>2100</v>
      </c>
      <c r="L141" s="339">
        <v>25478.085341457976</v>
      </c>
      <c r="M141" s="339">
        <v>13613.313378274073</v>
      </c>
      <c r="N141" s="339">
        <v>1711.6644532560326</v>
      </c>
      <c r="O141" s="339">
        <v>0.2</v>
      </c>
      <c r="P141" s="339">
        <v>5095.6170682915954</v>
      </c>
      <c r="Q141" s="339">
        <v>2722.6626756548144</v>
      </c>
      <c r="R141" s="339">
        <v>342.33289065120653</v>
      </c>
    </row>
    <row r="142" spans="3:18" hidden="1" outlineLevel="1" x14ac:dyDescent="0.3">
      <c r="C142" s="307">
        <v>2067</v>
      </c>
      <c r="D142" s="307">
        <v>83</v>
      </c>
      <c r="E142" s="307">
        <v>48</v>
      </c>
      <c r="F142" s="307">
        <v>1</v>
      </c>
      <c r="G142" s="307">
        <v>0.50475262858610526</v>
      </c>
      <c r="H142" s="307">
        <v>0.11974723396511404</v>
      </c>
      <c r="I142" s="307">
        <v>1.3864829023244363</v>
      </c>
      <c r="J142" s="307">
        <v>9.2799075097613706</v>
      </c>
      <c r="K142" s="339">
        <v>2100</v>
      </c>
      <c r="L142" s="339">
        <v>27019.509504616184</v>
      </c>
      <c r="M142" s="339">
        <v>13638.168445562274</v>
      </c>
      <c r="N142" s="339">
        <v>1633.1329477063814</v>
      </c>
      <c r="O142" s="339">
        <v>0.2</v>
      </c>
      <c r="P142" s="339">
        <v>5403.901900923237</v>
      </c>
      <c r="Q142" s="339">
        <v>2727.6336891124547</v>
      </c>
      <c r="R142" s="339">
        <v>326.62658954127625</v>
      </c>
    </row>
    <row r="143" spans="3:18" hidden="1" outlineLevel="1" x14ac:dyDescent="0.3">
      <c r="C143" s="307">
        <v>2068</v>
      </c>
      <c r="D143" s="307">
        <v>84</v>
      </c>
      <c r="E143" s="307">
        <v>49</v>
      </c>
      <c r="F143" s="307">
        <v>1</v>
      </c>
      <c r="G143" s="307">
        <v>0.47403099591910092</v>
      </c>
      <c r="H143" s="307">
        <v>0.11404498472868004</v>
      </c>
      <c r="I143" s="307">
        <v>1.4003477313476806</v>
      </c>
      <c r="J143" s="307">
        <v>9.7439028852494403</v>
      </c>
      <c r="K143" s="339">
        <v>2100</v>
      </c>
      <c r="L143" s="339">
        <v>28654.189829645464</v>
      </c>
      <c r="M143" s="339">
        <v>13582.974142201812</v>
      </c>
      <c r="N143" s="339">
        <v>1549.0700786174614</v>
      </c>
      <c r="O143" s="339">
        <v>0.2</v>
      </c>
      <c r="P143" s="339">
        <v>5730.8379659290931</v>
      </c>
      <c r="Q143" s="339">
        <v>2716.5948284403626</v>
      </c>
      <c r="R143" s="339">
        <v>309.81401572349233</v>
      </c>
    </row>
    <row r="144" spans="3:18" hidden="1" outlineLevel="1" x14ac:dyDescent="0.3">
      <c r="C144" s="307">
        <v>2069</v>
      </c>
      <c r="D144" s="307">
        <v>85</v>
      </c>
      <c r="E144" s="307">
        <v>50</v>
      </c>
      <c r="F144" s="307">
        <v>1</v>
      </c>
      <c r="G144" s="307">
        <v>0.44238966442216721</v>
      </c>
      <c r="H144" s="307">
        <v>0.10861427117017146</v>
      </c>
      <c r="I144" s="307">
        <v>1.4143512086611574</v>
      </c>
      <c r="J144" s="307">
        <v>10.231098029511912</v>
      </c>
      <c r="K144" s="339">
        <v>2100</v>
      </c>
      <c r="L144" s="339">
        <v>30387.768314339013</v>
      </c>
      <c r="M144" s="339">
        <v>13443.234627119002</v>
      </c>
      <c r="N144" s="339">
        <v>1460.1271311941421</v>
      </c>
      <c r="O144" s="339">
        <v>0.2</v>
      </c>
      <c r="P144" s="339">
        <v>6077.5536628678028</v>
      </c>
      <c r="Q144" s="339">
        <v>2688.6469254238004</v>
      </c>
      <c r="R144" s="339">
        <v>292.0254262388284</v>
      </c>
    </row>
    <row r="145" spans="3:18" hidden="1" outlineLevel="1" x14ac:dyDescent="0.3">
      <c r="C145" s="307">
        <v>2070</v>
      </c>
      <c r="D145" s="307">
        <v>86</v>
      </c>
      <c r="E145" s="307">
        <v>51</v>
      </c>
      <c r="F145" s="307">
        <v>1</v>
      </c>
      <c r="G145" s="307">
        <v>0.41003829342478615</v>
      </c>
      <c r="H145" s="307">
        <v>0.10344216301921091</v>
      </c>
      <c r="I145" s="307">
        <v>1.4214229647044629</v>
      </c>
      <c r="J145" s="307">
        <v>10.742652930987509</v>
      </c>
      <c r="K145" s="339">
        <v>2100</v>
      </c>
      <c r="L145" s="339">
        <v>32066.692513706243</v>
      </c>
      <c r="M145" s="339">
        <v>13148.571874097473</v>
      </c>
      <c r="N145" s="339">
        <v>1360.1167152702023</v>
      </c>
      <c r="O145" s="339">
        <v>0.2</v>
      </c>
      <c r="P145" s="339">
        <v>6413.3385027412487</v>
      </c>
      <c r="Q145" s="339">
        <v>2629.7143748194949</v>
      </c>
      <c r="R145" s="339">
        <v>272.02334305404048</v>
      </c>
    </row>
    <row r="146" spans="3:18" hidden="1" outlineLevel="1" x14ac:dyDescent="0.3">
      <c r="C146" s="307">
        <v>2071</v>
      </c>
      <c r="D146" s="307">
        <v>87</v>
      </c>
      <c r="E146" s="307">
        <v>52</v>
      </c>
      <c r="F146" s="307">
        <v>1</v>
      </c>
      <c r="G146" s="307">
        <v>0.37719232451930973</v>
      </c>
      <c r="H146" s="307">
        <v>9.851634573258182E-2</v>
      </c>
      <c r="I146" s="307">
        <v>1.4285300795279852</v>
      </c>
      <c r="J146" s="307">
        <v>11.279785577536884</v>
      </c>
      <c r="K146" s="339">
        <v>2100</v>
      </c>
      <c r="L146" s="339">
        <v>33838.377275088511</v>
      </c>
      <c r="M146" s="339">
        <v>12763.576182352021</v>
      </c>
      <c r="N146" s="339">
        <v>1257.4208839647386</v>
      </c>
      <c r="O146" s="339">
        <v>0.2</v>
      </c>
      <c r="P146" s="339">
        <v>6767.6754550177029</v>
      </c>
      <c r="Q146" s="339">
        <v>2552.7152364704048</v>
      </c>
      <c r="R146" s="339">
        <v>251.48417679294775</v>
      </c>
    </row>
    <row r="147" spans="3:18" hidden="1" outlineLevel="1" x14ac:dyDescent="0.3">
      <c r="C147" s="307">
        <v>2072</v>
      </c>
      <c r="D147" s="307">
        <v>88</v>
      </c>
      <c r="E147" s="307">
        <v>53</v>
      </c>
      <c r="F147" s="307">
        <v>1</v>
      </c>
      <c r="G147" s="307">
        <v>0.34410318346216362</v>
      </c>
      <c r="H147" s="307">
        <v>9.3825091173887445E-2</v>
      </c>
      <c r="I147" s="307">
        <v>1.4356727299256249</v>
      </c>
      <c r="J147" s="307">
        <v>11.843774856413729</v>
      </c>
      <c r="K147" s="339">
        <v>2100</v>
      </c>
      <c r="L147" s="339">
        <v>35707.947619537146</v>
      </c>
      <c r="M147" s="339">
        <v>12287.218450782919</v>
      </c>
      <c r="N147" s="339">
        <v>1152.8493914181795</v>
      </c>
      <c r="O147" s="339">
        <v>0.2</v>
      </c>
      <c r="P147" s="339">
        <v>7141.5895239074298</v>
      </c>
      <c r="Q147" s="339">
        <v>2457.4436901565841</v>
      </c>
      <c r="R147" s="339">
        <v>230.56987828363592</v>
      </c>
    </row>
    <row r="148" spans="3:18" hidden="1" outlineLevel="1" x14ac:dyDescent="0.3">
      <c r="C148" s="307">
        <v>2073</v>
      </c>
      <c r="D148" s="307">
        <v>89</v>
      </c>
      <c r="E148" s="307">
        <v>54</v>
      </c>
      <c r="F148" s="307">
        <v>1</v>
      </c>
      <c r="G148" s="307">
        <v>0.31092433288219679</v>
      </c>
      <c r="H148" s="307">
        <v>8.9357229689416617E-2</v>
      </c>
      <c r="I148" s="307">
        <v>1.4428510935752528</v>
      </c>
      <c r="J148" s="307">
        <v>12.435963599234416</v>
      </c>
      <c r="K148" s="339">
        <v>2100</v>
      </c>
      <c r="L148" s="339">
        <v>37680.811725516571</v>
      </c>
      <c r="M148" s="339">
        <v>11715.881248215897</v>
      </c>
      <c r="N148" s="339">
        <v>1046.898691710757</v>
      </c>
      <c r="O148" s="339">
        <v>0.2</v>
      </c>
      <c r="P148" s="339">
        <v>7536.1623451033147</v>
      </c>
      <c r="Q148" s="339">
        <v>2343.1762496431797</v>
      </c>
      <c r="R148" s="339">
        <v>209.37973834215143</v>
      </c>
    </row>
    <row r="149" spans="3:18" hidden="1" outlineLevel="1" x14ac:dyDescent="0.3">
      <c r="C149" s="307">
        <v>2074</v>
      </c>
      <c r="D149" s="307">
        <v>90</v>
      </c>
      <c r="E149" s="307">
        <v>55</v>
      </c>
      <c r="F149" s="307">
        <v>1</v>
      </c>
      <c r="G149" s="307">
        <v>0.27786614903500484</v>
      </c>
      <c r="H149" s="307">
        <v>8.5102123513730102E-2</v>
      </c>
      <c r="I149" s="307">
        <v>1.4500653490431288</v>
      </c>
      <c r="J149" s="307">
        <v>13.057761779196138</v>
      </c>
      <c r="K149" s="339">
        <v>2100</v>
      </c>
      <c r="L149" s="339">
        <v>39762.676573351353</v>
      </c>
      <c r="M149" s="339">
        <v>11048.701814761542</v>
      </c>
      <c r="N149" s="339">
        <v>940.2679865062106</v>
      </c>
      <c r="O149" s="339">
        <v>0.2</v>
      </c>
      <c r="P149" s="339">
        <v>7952.535314670271</v>
      </c>
      <c r="Q149" s="339">
        <v>2209.7403629523087</v>
      </c>
      <c r="R149" s="339">
        <v>188.05359730124215</v>
      </c>
    </row>
    <row r="150" spans="3:18" collapsed="1" x14ac:dyDescent="0.3"/>
    <row r="151" spans="3:18" x14ac:dyDescent="0.3">
      <c r="C151" s="123" t="s">
        <v>1203</v>
      </c>
    </row>
    <row r="152" spans="3:18" ht="57.6" x14ac:dyDescent="0.3">
      <c r="C152" s="340" t="s">
        <v>291</v>
      </c>
      <c r="D152" s="340" t="s">
        <v>7</v>
      </c>
      <c r="E152" s="340" t="s">
        <v>1095</v>
      </c>
      <c r="F152" s="340" t="s">
        <v>1201</v>
      </c>
      <c r="G152" s="340" t="s">
        <v>1200</v>
      </c>
      <c r="H152" s="340" t="s">
        <v>1199</v>
      </c>
      <c r="I152" s="340" t="s">
        <v>1198</v>
      </c>
      <c r="J152" s="340" t="s">
        <v>1197</v>
      </c>
      <c r="K152" s="340" t="s">
        <v>1196</v>
      </c>
      <c r="L152" s="340" t="s">
        <v>1195</v>
      </c>
      <c r="M152" s="340" t="s">
        <v>1194</v>
      </c>
      <c r="N152" s="340" t="s">
        <v>1193</v>
      </c>
      <c r="O152" s="340" t="s">
        <v>1192</v>
      </c>
      <c r="P152" s="340" t="s">
        <v>1191</v>
      </c>
      <c r="Q152" s="340" t="s">
        <v>1190</v>
      </c>
      <c r="R152" s="340" t="s">
        <v>1189</v>
      </c>
    </row>
    <row r="153" spans="3:18" hidden="1" outlineLevel="1" x14ac:dyDescent="0.3">
      <c r="C153" s="307">
        <v>2024</v>
      </c>
      <c r="D153" s="307">
        <v>40</v>
      </c>
      <c r="E153" s="307">
        <v>5</v>
      </c>
      <c r="F153" s="307">
        <v>0</v>
      </c>
      <c r="G153" s="307">
        <v>0</v>
      </c>
      <c r="H153" s="307">
        <v>0.97590007294853309</v>
      </c>
      <c r="I153" s="307">
        <v>0.47760556926165926</v>
      </c>
      <c r="J153" s="307">
        <v>1</v>
      </c>
      <c r="K153" s="339">
        <v>15000</v>
      </c>
      <c r="L153" s="339">
        <v>7164.0835389248887</v>
      </c>
      <c r="M153" s="339">
        <v>0</v>
      </c>
      <c r="N153" s="339">
        <v>0</v>
      </c>
      <c r="O153" s="339">
        <v>3500</v>
      </c>
      <c r="P153" s="339">
        <v>3500</v>
      </c>
      <c r="Q153" s="339">
        <v>0</v>
      </c>
      <c r="R153" s="339">
        <v>0</v>
      </c>
    </row>
    <row r="154" spans="3:18" hidden="1" outlineLevel="1" x14ac:dyDescent="0.3">
      <c r="C154" s="307">
        <v>2025</v>
      </c>
      <c r="D154" s="307">
        <v>41</v>
      </c>
      <c r="E154" s="307">
        <v>6</v>
      </c>
      <c r="F154" s="307">
        <v>0</v>
      </c>
      <c r="G154" s="307">
        <v>0</v>
      </c>
      <c r="H154" s="307">
        <v>0.92942864090336486</v>
      </c>
      <c r="I154" s="307">
        <v>0.49193373633950904</v>
      </c>
      <c r="J154" s="307">
        <v>1.0549999999999999</v>
      </c>
      <c r="K154" s="339">
        <v>15000</v>
      </c>
      <c r="L154" s="339">
        <v>7784.8513775727297</v>
      </c>
      <c r="M154" s="339">
        <v>0</v>
      </c>
      <c r="N154" s="339">
        <v>0</v>
      </c>
      <c r="O154" s="339">
        <v>3500</v>
      </c>
      <c r="P154" s="339">
        <v>3500</v>
      </c>
      <c r="Q154" s="339">
        <v>0</v>
      </c>
      <c r="R154" s="339">
        <v>0</v>
      </c>
    </row>
    <row r="155" spans="3:18" hidden="1" outlineLevel="1" x14ac:dyDescent="0.3">
      <c r="C155" s="307">
        <v>2026</v>
      </c>
      <c r="D155" s="307">
        <v>42</v>
      </c>
      <c r="E155" s="307">
        <v>7</v>
      </c>
      <c r="F155" s="307">
        <v>0</v>
      </c>
      <c r="G155" s="307">
        <v>0</v>
      </c>
      <c r="H155" s="307">
        <v>0.88517013419368074</v>
      </c>
      <c r="I155" s="307">
        <v>0.50669174842969433</v>
      </c>
      <c r="J155" s="307">
        <v>1.1103874999999999</v>
      </c>
      <c r="K155" s="339">
        <v>15000</v>
      </c>
      <c r="L155" s="339">
        <v>8439.3627571421566</v>
      </c>
      <c r="M155" s="339">
        <v>0</v>
      </c>
      <c r="N155" s="339">
        <v>0</v>
      </c>
      <c r="O155" s="339">
        <v>3500</v>
      </c>
      <c r="P155" s="339">
        <v>3500</v>
      </c>
      <c r="Q155" s="339">
        <v>0</v>
      </c>
      <c r="R155" s="339">
        <v>0</v>
      </c>
    </row>
    <row r="156" spans="3:18" hidden="1" outlineLevel="1" x14ac:dyDescent="0.3">
      <c r="C156" s="307">
        <v>2027</v>
      </c>
      <c r="D156" s="307">
        <v>43</v>
      </c>
      <c r="E156" s="307">
        <v>8</v>
      </c>
      <c r="F156" s="307">
        <v>0</v>
      </c>
      <c r="G156" s="307">
        <v>0</v>
      </c>
      <c r="H156" s="307">
        <v>0.843019175422553</v>
      </c>
      <c r="I156" s="307">
        <v>0.52189250088258521</v>
      </c>
      <c r="J156" s="307">
        <v>1.1659068749999999</v>
      </c>
      <c r="K156" s="339">
        <v>15000</v>
      </c>
      <c r="L156" s="339">
        <v>9127.170821849244</v>
      </c>
      <c r="M156" s="339">
        <v>0</v>
      </c>
      <c r="N156" s="339">
        <v>0</v>
      </c>
      <c r="O156" s="339">
        <v>3500</v>
      </c>
      <c r="P156" s="339">
        <v>3500</v>
      </c>
      <c r="Q156" s="339">
        <v>0</v>
      </c>
      <c r="R156" s="339">
        <v>0</v>
      </c>
    </row>
    <row r="157" spans="3:18" hidden="1" outlineLevel="1" x14ac:dyDescent="0.3">
      <c r="C157" s="307">
        <v>2028</v>
      </c>
      <c r="D157" s="307">
        <v>44</v>
      </c>
      <c r="E157" s="307">
        <v>9</v>
      </c>
      <c r="F157" s="307">
        <v>0</v>
      </c>
      <c r="G157" s="307">
        <v>0</v>
      </c>
      <c r="H157" s="307">
        <v>0.8028754051643362</v>
      </c>
      <c r="I157" s="307">
        <v>0.53754927590906276</v>
      </c>
      <c r="J157" s="307">
        <v>1.2212874515624998</v>
      </c>
      <c r="K157" s="339">
        <v>15000</v>
      </c>
      <c r="L157" s="339">
        <v>9847.5327789636958</v>
      </c>
      <c r="M157" s="339">
        <v>0</v>
      </c>
      <c r="N157" s="339">
        <v>0</v>
      </c>
      <c r="O157" s="339">
        <v>3500</v>
      </c>
      <c r="P157" s="339">
        <v>3500</v>
      </c>
      <c r="Q157" s="339">
        <v>0</v>
      </c>
      <c r="R157" s="339">
        <v>0</v>
      </c>
    </row>
    <row r="158" spans="3:18" hidden="1" outlineLevel="1" x14ac:dyDescent="0.3">
      <c r="C158" s="307">
        <v>2029</v>
      </c>
      <c r="D158" s="307">
        <v>45</v>
      </c>
      <c r="E158" s="307">
        <v>10</v>
      </c>
      <c r="F158" s="307">
        <v>0</v>
      </c>
      <c r="G158" s="307">
        <v>0</v>
      </c>
      <c r="H158" s="307">
        <v>0.7646432430136535</v>
      </c>
      <c r="I158" s="307">
        <v>0.55367575418633463</v>
      </c>
      <c r="J158" s="307">
        <v>1.2762453868828123</v>
      </c>
      <c r="K158" s="339">
        <v>15000</v>
      </c>
      <c r="L158" s="339">
        <v>10599.391906637573</v>
      </c>
      <c r="M158" s="339">
        <v>0</v>
      </c>
      <c r="N158" s="339">
        <v>0</v>
      </c>
      <c r="O158" s="339">
        <v>3500</v>
      </c>
      <c r="P158" s="339">
        <v>3500</v>
      </c>
      <c r="Q158" s="339">
        <v>0</v>
      </c>
      <c r="R158" s="339">
        <v>0</v>
      </c>
    </row>
    <row r="159" spans="3:18" hidden="1" outlineLevel="1" x14ac:dyDescent="0.3">
      <c r="C159" s="307">
        <v>2030</v>
      </c>
      <c r="D159" s="307">
        <v>46</v>
      </c>
      <c r="E159" s="307">
        <v>11</v>
      </c>
      <c r="F159" s="307">
        <v>0</v>
      </c>
      <c r="G159" s="307">
        <v>0</v>
      </c>
      <c r="H159" s="307">
        <v>0.72823166001300332</v>
      </c>
      <c r="I159" s="307">
        <v>0.57028602681192464</v>
      </c>
      <c r="J159" s="307">
        <v>1.3304858158253319</v>
      </c>
      <c r="K159" s="339">
        <v>15000</v>
      </c>
      <c r="L159" s="339">
        <v>11381.362044549758</v>
      </c>
      <c r="M159" s="339">
        <v>0</v>
      </c>
      <c r="N159" s="339">
        <v>0</v>
      </c>
      <c r="O159" s="339">
        <v>3500</v>
      </c>
      <c r="P159" s="339">
        <v>3500</v>
      </c>
      <c r="Q159" s="339">
        <v>0</v>
      </c>
      <c r="R159" s="339">
        <v>0</v>
      </c>
    </row>
    <row r="160" spans="3:18" hidden="1" outlineLevel="1" x14ac:dyDescent="0.3">
      <c r="C160" s="307">
        <v>2031</v>
      </c>
      <c r="D160" s="307">
        <v>47</v>
      </c>
      <c r="E160" s="307">
        <v>12</v>
      </c>
      <c r="F160" s="307">
        <v>0</v>
      </c>
      <c r="G160" s="307">
        <v>0</v>
      </c>
      <c r="H160" s="307">
        <v>0.69355396191714602</v>
      </c>
      <c r="I160" s="307">
        <v>0.58739460761628237</v>
      </c>
      <c r="J160" s="307">
        <v>1.3837052484583452</v>
      </c>
      <c r="K160" s="339">
        <v>15000</v>
      </c>
      <c r="L160" s="339">
        <v>12191.715022121702</v>
      </c>
      <c r="M160" s="339">
        <v>0</v>
      </c>
      <c r="N160" s="339">
        <v>0</v>
      </c>
      <c r="O160" s="339">
        <v>3500</v>
      </c>
      <c r="P160" s="339">
        <v>3500</v>
      </c>
      <c r="Q160" s="339">
        <v>0</v>
      </c>
      <c r="R160" s="339">
        <v>0</v>
      </c>
    </row>
    <row r="161" spans="3:18" hidden="1" outlineLevel="1" x14ac:dyDescent="0.3">
      <c r="C161" s="307">
        <v>2032</v>
      </c>
      <c r="D161" s="307">
        <v>48</v>
      </c>
      <c r="E161" s="307">
        <v>13</v>
      </c>
      <c r="F161" s="307">
        <v>0</v>
      </c>
      <c r="G161" s="307">
        <v>0</v>
      </c>
      <c r="H161" s="307">
        <v>0.66052758277823431</v>
      </c>
      <c r="I161" s="307">
        <v>0.60501644584477088</v>
      </c>
      <c r="J161" s="307">
        <v>1.4355941952755333</v>
      </c>
      <c r="K161" s="339">
        <v>15000</v>
      </c>
      <c r="L161" s="339">
        <v>13028.371465514807</v>
      </c>
      <c r="M161" s="339">
        <v>0</v>
      </c>
      <c r="N161" s="339">
        <v>0</v>
      </c>
      <c r="O161" s="339">
        <v>3500</v>
      </c>
      <c r="P161" s="339">
        <v>3500</v>
      </c>
      <c r="Q161" s="339">
        <v>0</v>
      </c>
      <c r="R161" s="339">
        <v>0</v>
      </c>
    </row>
    <row r="162" spans="3:18" hidden="1" outlineLevel="1" x14ac:dyDescent="0.3">
      <c r="C162" s="307">
        <v>2033</v>
      </c>
      <c r="D162" s="307">
        <v>49</v>
      </c>
      <c r="E162" s="307">
        <v>14</v>
      </c>
      <c r="F162" s="307">
        <v>0</v>
      </c>
      <c r="G162" s="307">
        <v>0</v>
      </c>
      <c r="H162" s="307">
        <v>0.62907388836022315</v>
      </c>
      <c r="I162" s="307">
        <v>0.62316693922011401</v>
      </c>
      <c r="J162" s="307">
        <v>1.4858399921101768</v>
      </c>
      <c r="K162" s="339">
        <v>15000</v>
      </c>
      <c r="L162" s="339">
        <v>13888.895400812058</v>
      </c>
      <c r="M162" s="339">
        <v>0</v>
      </c>
      <c r="N162" s="339">
        <v>0</v>
      </c>
      <c r="O162" s="339">
        <v>3500</v>
      </c>
      <c r="P162" s="339">
        <v>3500</v>
      </c>
      <c r="Q162" s="339">
        <v>0</v>
      </c>
      <c r="R162" s="339">
        <v>0</v>
      </c>
    </row>
    <row r="163" spans="3:18" hidden="1" outlineLevel="1" x14ac:dyDescent="0.3">
      <c r="C163" s="307">
        <v>2034</v>
      </c>
      <c r="D163" s="307">
        <v>50</v>
      </c>
      <c r="E163" s="307">
        <v>15</v>
      </c>
      <c r="F163" s="307">
        <v>0</v>
      </c>
      <c r="G163" s="307">
        <v>0</v>
      </c>
      <c r="H163" s="307">
        <v>0.59911798891449819</v>
      </c>
      <c r="I163" s="307">
        <v>0.64186194739671742</v>
      </c>
      <c r="J163" s="307">
        <v>1.5341297918537575</v>
      </c>
      <c r="K163" s="339">
        <v>15000</v>
      </c>
      <c r="L163" s="339">
        <v>14770.493036378604</v>
      </c>
      <c r="M163" s="339">
        <v>0</v>
      </c>
      <c r="N163" s="339">
        <v>0</v>
      </c>
      <c r="O163" s="339">
        <v>3500</v>
      </c>
      <c r="P163" s="339">
        <v>3500</v>
      </c>
      <c r="Q163" s="339">
        <v>0</v>
      </c>
      <c r="R163" s="339">
        <v>0</v>
      </c>
    </row>
    <row r="164" spans="3:18" hidden="1" outlineLevel="1" x14ac:dyDescent="0.3">
      <c r="C164" s="307">
        <v>2035</v>
      </c>
      <c r="D164" s="307">
        <v>51</v>
      </c>
      <c r="E164" s="307">
        <v>16</v>
      </c>
      <c r="F164" s="307">
        <v>0</v>
      </c>
      <c r="G164" s="307">
        <v>0</v>
      </c>
      <c r="H164" s="307">
        <v>0.57058856087095067</v>
      </c>
      <c r="I164" s="307">
        <v>0.66111780581861901</v>
      </c>
      <c r="J164" s="307">
        <v>1.5801536856093703</v>
      </c>
      <c r="K164" s="339">
        <v>15000</v>
      </c>
      <c r="L164" s="339">
        <v>15670.016062294062</v>
      </c>
      <c r="M164" s="339">
        <v>0</v>
      </c>
      <c r="N164" s="339">
        <v>0</v>
      </c>
      <c r="O164" s="339">
        <v>3500</v>
      </c>
      <c r="P164" s="339">
        <v>3500</v>
      </c>
      <c r="Q164" s="339">
        <v>0</v>
      </c>
      <c r="R164" s="339">
        <v>0</v>
      </c>
    </row>
    <row r="165" spans="3:18" hidden="1" outlineLevel="1" x14ac:dyDescent="0.3">
      <c r="C165" s="307">
        <v>2036</v>
      </c>
      <c r="D165" s="307">
        <v>52</v>
      </c>
      <c r="E165" s="307">
        <v>17</v>
      </c>
      <c r="F165" s="307">
        <v>0</v>
      </c>
      <c r="G165" s="307">
        <v>0</v>
      </c>
      <c r="H165" s="307">
        <v>0.54341767701995303</v>
      </c>
      <c r="I165" s="307">
        <v>0.68095133999317758</v>
      </c>
      <c r="J165" s="307">
        <v>1.6275582961776514</v>
      </c>
      <c r="K165" s="339">
        <v>15000</v>
      </c>
      <c r="L165" s="339">
        <v>16624.320040487772</v>
      </c>
      <c r="M165" s="339">
        <v>0</v>
      </c>
      <c r="N165" s="339">
        <v>0</v>
      </c>
      <c r="O165" s="339">
        <v>3500</v>
      </c>
      <c r="P165" s="339">
        <v>3500</v>
      </c>
      <c r="Q165" s="339">
        <v>0</v>
      </c>
      <c r="R165" s="339">
        <v>0</v>
      </c>
    </row>
    <row r="166" spans="3:18" hidden="1" outlineLevel="1" x14ac:dyDescent="0.3">
      <c r="C166" s="307">
        <v>2037</v>
      </c>
      <c r="D166" s="307">
        <v>53</v>
      </c>
      <c r="E166" s="307">
        <v>18</v>
      </c>
      <c r="F166" s="307">
        <v>0</v>
      </c>
      <c r="G166" s="307">
        <v>0</v>
      </c>
      <c r="H166" s="307">
        <v>0.51754064478090767</v>
      </c>
      <c r="I166" s="307">
        <v>0.70137988019297293</v>
      </c>
      <c r="J166" s="307">
        <v>1.6763850450629809</v>
      </c>
      <c r="K166" s="339">
        <v>15000</v>
      </c>
      <c r="L166" s="339">
        <v>17636.741130953476</v>
      </c>
      <c r="M166" s="339">
        <v>0</v>
      </c>
      <c r="N166" s="339">
        <v>0</v>
      </c>
      <c r="O166" s="339">
        <v>3500</v>
      </c>
      <c r="P166" s="339">
        <v>3500</v>
      </c>
      <c r="Q166" s="339">
        <v>0</v>
      </c>
      <c r="R166" s="339">
        <v>0</v>
      </c>
    </row>
    <row r="167" spans="3:18" hidden="1" outlineLevel="1" x14ac:dyDescent="0.3">
      <c r="C167" s="307">
        <v>2038</v>
      </c>
      <c r="D167" s="307">
        <v>54</v>
      </c>
      <c r="E167" s="307">
        <v>19</v>
      </c>
      <c r="F167" s="307">
        <v>0</v>
      </c>
      <c r="G167" s="307">
        <v>0</v>
      </c>
      <c r="H167" s="307">
        <v>0.49289585217229298</v>
      </c>
      <c r="I167" s="307">
        <v>0.7224212765987621</v>
      </c>
      <c r="J167" s="307">
        <v>1.7266765964148705</v>
      </c>
      <c r="K167" s="339">
        <v>15000</v>
      </c>
      <c r="L167" s="339">
        <v>18710.818665828545</v>
      </c>
      <c r="M167" s="339">
        <v>0</v>
      </c>
      <c r="N167" s="339">
        <v>0</v>
      </c>
      <c r="O167" s="339">
        <v>3500</v>
      </c>
      <c r="P167" s="339">
        <v>3500</v>
      </c>
      <c r="Q167" s="339">
        <v>0</v>
      </c>
      <c r="R167" s="339">
        <v>0</v>
      </c>
    </row>
    <row r="168" spans="3:18" hidden="1" outlineLevel="1" x14ac:dyDescent="0.3">
      <c r="C168" s="307">
        <v>2039</v>
      </c>
      <c r="D168" s="307">
        <v>55</v>
      </c>
      <c r="E168" s="307">
        <v>20</v>
      </c>
      <c r="F168" s="307">
        <v>1</v>
      </c>
      <c r="G168" s="307">
        <v>8.3657758364132084E-2</v>
      </c>
      <c r="H168" s="307">
        <v>0.46942462111646949</v>
      </c>
      <c r="I168" s="307">
        <v>0.74409391489672494</v>
      </c>
      <c r="J168" s="307">
        <v>1.7784768943073166</v>
      </c>
      <c r="K168" s="339">
        <v>15000</v>
      </c>
      <c r="L168" s="339">
        <v>19850.307522577499</v>
      </c>
      <c r="M168" s="339">
        <v>1660.6322301775019</v>
      </c>
      <c r="N168" s="339">
        <v>779.54165546487161</v>
      </c>
      <c r="O168" s="339">
        <v>3500</v>
      </c>
      <c r="P168" s="339">
        <v>3500</v>
      </c>
      <c r="Q168" s="339">
        <v>292.80215427446228</v>
      </c>
      <c r="R168" s="339">
        <v>137.4485403323755</v>
      </c>
    </row>
    <row r="169" spans="3:18" hidden="1" outlineLevel="1" x14ac:dyDescent="0.3">
      <c r="C169" s="307">
        <v>2040</v>
      </c>
      <c r="D169" s="307">
        <v>56</v>
      </c>
      <c r="E169" s="307">
        <v>21</v>
      </c>
      <c r="F169" s="307">
        <v>1</v>
      </c>
      <c r="G169" s="307">
        <v>8.3436081009928664E-2</v>
      </c>
      <c r="H169" s="307">
        <v>0.44707106772997091</v>
      </c>
      <c r="I169" s="307">
        <v>0.76641673234362673</v>
      </c>
      <c r="J169" s="307">
        <v>1.8318312011365361</v>
      </c>
      <c r="K169" s="339">
        <v>15000</v>
      </c>
      <c r="L169" s="339">
        <v>21059.191250702472</v>
      </c>
      <c r="M169" s="339">
        <v>1757.0963871971924</v>
      </c>
      <c r="N169" s="339">
        <v>785.54695792872315</v>
      </c>
      <c r="O169" s="339">
        <v>3500</v>
      </c>
      <c r="P169" s="339">
        <v>3500</v>
      </c>
      <c r="Q169" s="339">
        <v>292.02628353475035</v>
      </c>
      <c r="R169" s="339">
        <v>130.55650238509605</v>
      </c>
    </row>
    <row r="170" spans="3:18" hidden="1" outlineLevel="1" x14ac:dyDescent="0.3">
      <c r="C170" s="307">
        <v>2041</v>
      </c>
      <c r="D170" s="307">
        <v>57</v>
      </c>
      <c r="E170" s="307">
        <v>22</v>
      </c>
      <c r="F170" s="307">
        <v>1</v>
      </c>
      <c r="G170" s="307">
        <v>8.3189962117090982E-2</v>
      </c>
      <c r="H170" s="307">
        <v>0.42578196926663892</v>
      </c>
      <c r="I170" s="307">
        <v>0.7894092343139355</v>
      </c>
      <c r="J170" s="307">
        <v>1.8867861371706323</v>
      </c>
      <c r="K170" s="339">
        <v>15000</v>
      </c>
      <c r="L170" s="339">
        <v>22341.695997870254</v>
      </c>
      <c r="M170" s="339">
        <v>1858.6048436943897</v>
      </c>
      <c r="N170" s="339">
        <v>791.36043043671089</v>
      </c>
      <c r="O170" s="339">
        <v>3500</v>
      </c>
      <c r="P170" s="339">
        <v>3500</v>
      </c>
      <c r="Q170" s="339">
        <v>291.16486740981844</v>
      </c>
      <c r="R170" s="339">
        <v>123.97275062701232</v>
      </c>
    </row>
    <row r="171" spans="3:18" hidden="1" outlineLevel="1" x14ac:dyDescent="0.3">
      <c r="C171" s="307">
        <v>2042</v>
      </c>
      <c r="D171" s="307">
        <v>58</v>
      </c>
      <c r="E171" s="307">
        <v>23</v>
      </c>
      <c r="F171" s="307">
        <v>1</v>
      </c>
      <c r="G171" s="307">
        <v>8.291961411190274E-2</v>
      </c>
      <c r="H171" s="307">
        <v>0.40550663739679893</v>
      </c>
      <c r="I171" s="307">
        <v>0.81309151134335356</v>
      </c>
      <c r="J171" s="307">
        <v>1.9433897212857514</v>
      </c>
      <c r="K171" s="339">
        <v>15000</v>
      </c>
      <c r="L171" s="339">
        <v>23702.305284140555</v>
      </c>
      <c r="M171" s="339">
        <v>1965.3860077234481</v>
      </c>
      <c r="N171" s="339">
        <v>796.97707117865457</v>
      </c>
      <c r="O171" s="339">
        <v>3500</v>
      </c>
      <c r="P171" s="339">
        <v>3500</v>
      </c>
      <c r="Q171" s="339">
        <v>290.2186493916596</v>
      </c>
      <c r="R171" s="339">
        <v>117.68558862465242</v>
      </c>
    </row>
    <row r="172" spans="3:18" hidden="1" outlineLevel="1" x14ac:dyDescent="0.3">
      <c r="C172" s="307">
        <v>2043</v>
      </c>
      <c r="D172" s="307">
        <v>59</v>
      </c>
      <c r="E172" s="307">
        <v>24</v>
      </c>
      <c r="F172" s="307">
        <v>1</v>
      </c>
      <c r="G172" s="307">
        <v>8.2621131741777848E-2</v>
      </c>
      <c r="H172" s="307">
        <v>0.38619679752076086</v>
      </c>
      <c r="I172" s="307">
        <v>0.83748425668365423</v>
      </c>
      <c r="J172" s="307">
        <v>2.0016914129243242</v>
      </c>
      <c r="K172" s="339">
        <v>15000</v>
      </c>
      <c r="L172" s="339">
        <v>25145.775675944718</v>
      </c>
      <c r="M172" s="339">
        <v>2077.5724448714213</v>
      </c>
      <c r="N172" s="339">
        <v>802.35182482672042</v>
      </c>
      <c r="O172" s="339">
        <v>3500</v>
      </c>
      <c r="P172" s="339">
        <v>3500</v>
      </c>
      <c r="Q172" s="339">
        <v>289.17396109622246</v>
      </c>
      <c r="R172" s="339">
        <v>111.6780577017542</v>
      </c>
    </row>
    <row r="173" spans="3:18" hidden="1" outlineLevel="1" x14ac:dyDescent="0.3">
      <c r="C173" s="307">
        <v>2044</v>
      </c>
      <c r="D173" s="307">
        <v>60</v>
      </c>
      <c r="E173" s="307">
        <v>25</v>
      </c>
      <c r="F173" s="307">
        <v>1</v>
      </c>
      <c r="G173" s="307">
        <v>8.2290678670606812E-2</v>
      </c>
      <c r="H173" s="307">
        <v>0.36780647382929604</v>
      </c>
      <c r="I173" s="307">
        <v>0.86260878438416388</v>
      </c>
      <c r="J173" s="307">
        <v>2.0617421553120541</v>
      </c>
      <c r="K173" s="339">
        <v>15000</v>
      </c>
      <c r="L173" s="339">
        <v>26677.153414609755</v>
      </c>
      <c r="M173" s="339">
        <v>2195.2810594881325</v>
      </c>
      <c r="N173" s="339">
        <v>807.43858555457109</v>
      </c>
      <c r="O173" s="339">
        <v>3500</v>
      </c>
      <c r="P173" s="339">
        <v>3500</v>
      </c>
      <c r="Q173" s="339">
        <v>288.01737534712385</v>
      </c>
      <c r="R173" s="339">
        <v>105.93465522799444</v>
      </c>
    </row>
    <row r="174" spans="3:18" hidden="1" outlineLevel="1" x14ac:dyDescent="0.3">
      <c r="C174" s="307">
        <v>2045</v>
      </c>
      <c r="D174" s="307">
        <v>61</v>
      </c>
      <c r="E174" s="307">
        <v>26</v>
      </c>
      <c r="F174" s="307">
        <v>1</v>
      </c>
      <c r="G174" s="307">
        <v>8.1924528444045311E-2</v>
      </c>
      <c r="H174" s="307">
        <v>0.35029187983742477</v>
      </c>
      <c r="I174" s="307">
        <v>0.88848704791568878</v>
      </c>
      <c r="J174" s="307">
        <v>2.1235944199714156</v>
      </c>
      <c r="K174" s="339">
        <v>15000</v>
      </c>
      <c r="L174" s="339">
        <v>28301.792057559487</v>
      </c>
      <c r="M174" s="339">
        <v>2318.6109684369881</v>
      </c>
      <c r="N174" s="339">
        <v>812.19059474546452</v>
      </c>
      <c r="O174" s="339">
        <v>3500</v>
      </c>
      <c r="P174" s="339">
        <v>3500</v>
      </c>
      <c r="Q174" s="339">
        <v>286.73584955415856</v>
      </c>
      <c r="R174" s="339">
        <v>100.44123975710721</v>
      </c>
    </row>
    <row r="175" spans="3:18" hidden="1" outlineLevel="1" x14ac:dyDescent="0.3">
      <c r="C175" s="307">
        <v>2046</v>
      </c>
      <c r="D175" s="307">
        <v>62</v>
      </c>
      <c r="E175" s="307">
        <v>27</v>
      </c>
      <c r="F175" s="307">
        <v>1</v>
      </c>
      <c r="G175" s="307">
        <v>0.30155919348843885</v>
      </c>
      <c r="H175" s="307">
        <v>0.33361131413088074</v>
      </c>
      <c r="I175" s="307">
        <v>0.9151416593531595</v>
      </c>
      <c r="J175" s="307">
        <v>2.1873022525705581</v>
      </c>
      <c r="K175" s="339">
        <v>15000</v>
      </c>
      <c r="L175" s="339">
        <v>30025.371193864863</v>
      </c>
      <c r="M175" s="339">
        <v>9054.4267214128922</v>
      </c>
      <c r="N175" s="339">
        <v>3020.6591972323172</v>
      </c>
      <c r="O175" s="339">
        <v>3500</v>
      </c>
      <c r="P175" s="339">
        <v>3500</v>
      </c>
      <c r="Q175" s="339">
        <v>1055.457177209536</v>
      </c>
      <c r="R175" s="339">
        <v>352.11245589774319</v>
      </c>
    </row>
    <row r="176" spans="3:18" hidden="1" outlineLevel="1" x14ac:dyDescent="0.3">
      <c r="C176" s="307">
        <v>2047</v>
      </c>
      <c r="D176" s="307">
        <v>63</v>
      </c>
      <c r="E176" s="307">
        <v>28</v>
      </c>
      <c r="F176" s="307">
        <v>1</v>
      </c>
      <c r="G176" s="307">
        <v>0.45273876053242179</v>
      </c>
      <c r="H176" s="307">
        <v>0.31772506107702925</v>
      </c>
      <c r="I176" s="307">
        <v>0.94259590913375435</v>
      </c>
      <c r="J176" s="307">
        <v>2.2529213201476748</v>
      </c>
      <c r="K176" s="339">
        <v>15000</v>
      </c>
      <c r="L176" s="339">
        <v>31853.916299571232</v>
      </c>
      <c r="M176" s="339">
        <v>14421.502583571388</v>
      </c>
      <c r="N176" s="339">
        <v>4582.0727891877541</v>
      </c>
      <c r="O176" s="339">
        <v>3500</v>
      </c>
      <c r="P176" s="339">
        <v>3500</v>
      </c>
      <c r="Q176" s="339">
        <v>1584.5856618634762</v>
      </c>
      <c r="R176" s="339">
        <v>503.46257619735781</v>
      </c>
    </row>
    <row r="177" spans="3:18" hidden="1" outlineLevel="1" x14ac:dyDescent="0.3">
      <c r="C177" s="307">
        <v>2048</v>
      </c>
      <c r="D177" s="307">
        <v>64</v>
      </c>
      <c r="E177" s="307">
        <v>29</v>
      </c>
      <c r="F177" s="307">
        <v>1</v>
      </c>
      <c r="G177" s="307">
        <v>0.52068955064672595</v>
      </c>
      <c r="H177" s="307">
        <v>0.30259529626383735</v>
      </c>
      <c r="I177" s="307">
        <v>0.970873786407767</v>
      </c>
      <c r="J177" s="307">
        <v>2.3205089597521051</v>
      </c>
      <c r="K177" s="339">
        <v>15000</v>
      </c>
      <c r="L177" s="339">
        <v>33793.819802215119</v>
      </c>
      <c r="M177" s="339">
        <v>17596.088847451818</v>
      </c>
      <c r="N177" s="339">
        <v>5324.4937178794871</v>
      </c>
      <c r="O177" s="339">
        <v>3500</v>
      </c>
      <c r="P177" s="339">
        <v>3500</v>
      </c>
      <c r="Q177" s="339">
        <v>1822.4134272635408</v>
      </c>
      <c r="R177" s="339">
        <v>551.45373093800629</v>
      </c>
    </row>
    <row r="178" spans="3:18" hidden="1" outlineLevel="1" x14ac:dyDescent="0.3">
      <c r="C178" s="307">
        <v>2049</v>
      </c>
      <c r="D178" s="307">
        <v>65</v>
      </c>
      <c r="E178" s="307">
        <v>30</v>
      </c>
      <c r="F178" s="307">
        <v>1</v>
      </c>
      <c r="G178" s="307">
        <v>0.79766257984514588</v>
      </c>
      <c r="H178" s="307">
        <v>0.28818599644174986</v>
      </c>
      <c r="I178" s="307">
        <v>1</v>
      </c>
      <c r="J178" s="307">
        <v>2.3901242285446682</v>
      </c>
      <c r="K178" s="339">
        <v>2100</v>
      </c>
      <c r="L178" s="339">
        <v>5019.260879943803</v>
      </c>
      <c r="M178" s="339">
        <v>4003.6765824117911</v>
      </c>
      <c r="N178" s="339">
        <v>1153.8035253328417</v>
      </c>
      <c r="O178" s="339">
        <v>1000</v>
      </c>
      <c r="P178" s="339">
        <v>1000</v>
      </c>
      <c r="Q178" s="339">
        <v>797.66257984514584</v>
      </c>
      <c r="R178" s="339">
        <v>229.87518539697021</v>
      </c>
    </row>
    <row r="179" spans="3:18" hidden="1" outlineLevel="1" x14ac:dyDescent="0.3">
      <c r="C179" s="307">
        <v>2050</v>
      </c>
      <c r="D179" s="307">
        <v>66</v>
      </c>
      <c r="E179" s="307">
        <v>31</v>
      </c>
      <c r="F179" s="307">
        <v>1</v>
      </c>
      <c r="G179" s="307">
        <v>0.79172098825197978</v>
      </c>
      <c r="H179" s="307">
        <v>0.2744628537540475</v>
      </c>
      <c r="I179" s="307">
        <v>1.0249999999999999</v>
      </c>
      <c r="J179" s="307">
        <v>2.4618279554010085</v>
      </c>
      <c r="K179" s="339">
        <v>2100</v>
      </c>
      <c r="L179" s="339">
        <v>5299.08467400067</v>
      </c>
      <c r="M179" s="339">
        <v>4195.3965549307304</v>
      </c>
      <c r="N179" s="339">
        <v>1151.4805110961877</v>
      </c>
      <c r="O179" s="339">
        <v>1000</v>
      </c>
      <c r="P179" s="339">
        <v>1000</v>
      </c>
      <c r="Q179" s="339">
        <v>791.72098825197975</v>
      </c>
      <c r="R179" s="339">
        <v>217.29800181261308</v>
      </c>
    </row>
    <row r="180" spans="3:18" hidden="1" outlineLevel="1" x14ac:dyDescent="0.3">
      <c r="C180" s="307">
        <v>2051</v>
      </c>
      <c r="D180" s="307">
        <v>67</v>
      </c>
      <c r="E180" s="307">
        <v>32</v>
      </c>
      <c r="F180" s="307">
        <v>1</v>
      </c>
      <c r="G180" s="307">
        <v>0.78519068500938616</v>
      </c>
      <c r="H180" s="307">
        <v>0.26139319405147382</v>
      </c>
      <c r="I180" s="307">
        <v>1.0506249999999999</v>
      </c>
      <c r="J180" s="307">
        <v>2.5356827940630389</v>
      </c>
      <c r="K180" s="339">
        <v>2100</v>
      </c>
      <c r="L180" s="339">
        <v>5594.5086445762081</v>
      </c>
      <c r="M180" s="339">
        <v>4392.7560749257254</v>
      </c>
      <c r="N180" s="339">
        <v>1148.2365411138505</v>
      </c>
      <c r="O180" s="339">
        <v>1000</v>
      </c>
      <c r="P180" s="339">
        <v>1000</v>
      </c>
      <c r="Q180" s="339">
        <v>785.19068500938613</v>
      </c>
      <c r="R180" s="339">
        <v>205.24350109406814</v>
      </c>
    </row>
    <row r="181" spans="3:18" hidden="1" outlineLevel="1" x14ac:dyDescent="0.3">
      <c r="C181" s="307">
        <v>2052</v>
      </c>
      <c r="D181" s="307">
        <v>68</v>
      </c>
      <c r="E181" s="307">
        <v>33</v>
      </c>
      <c r="F181" s="307">
        <v>1</v>
      </c>
      <c r="G181" s="307">
        <v>0.77796864595838189</v>
      </c>
      <c r="H181" s="307">
        <v>0.24894589909664172</v>
      </c>
      <c r="I181" s="307">
        <v>1.0768906249999999</v>
      </c>
      <c r="J181" s="307">
        <v>2.6117532778849299</v>
      </c>
      <c r="K181" s="339">
        <v>2100</v>
      </c>
      <c r="L181" s="339">
        <v>5906.4025015113311</v>
      </c>
      <c r="M181" s="339">
        <v>4594.9959565859699</v>
      </c>
      <c r="N181" s="339">
        <v>1143.9053997577275</v>
      </c>
      <c r="O181" s="339">
        <v>1000</v>
      </c>
      <c r="P181" s="339">
        <v>1000</v>
      </c>
      <c r="Q181" s="339">
        <v>777.9686459583819</v>
      </c>
      <c r="R181" s="339">
        <v>193.67210403710632</v>
      </c>
    </row>
    <row r="182" spans="3:18" hidden="1" outlineLevel="1" x14ac:dyDescent="0.3">
      <c r="C182" s="307">
        <v>2053</v>
      </c>
      <c r="D182" s="307">
        <v>69</v>
      </c>
      <c r="E182" s="307">
        <v>34</v>
      </c>
      <c r="F182" s="307">
        <v>1</v>
      </c>
      <c r="G182" s="307">
        <v>0.76995784382714261</v>
      </c>
      <c r="H182" s="307">
        <v>0.23709133247299211</v>
      </c>
      <c r="I182" s="307">
        <v>1.1038128906249998</v>
      </c>
      <c r="J182" s="307">
        <v>2.690105876221478</v>
      </c>
      <c r="K182" s="339">
        <v>2100</v>
      </c>
      <c r="L182" s="339">
        <v>6235.6844409705873</v>
      </c>
      <c r="M182" s="339">
        <v>4801.2141469561748</v>
      </c>
      <c r="N182" s="339">
        <v>1138.3262595900196</v>
      </c>
      <c r="O182" s="339">
        <v>1000</v>
      </c>
      <c r="P182" s="339">
        <v>1000</v>
      </c>
      <c r="Q182" s="339">
        <v>769.9578438271426</v>
      </c>
      <c r="R182" s="339">
        <v>182.5503311410092</v>
      </c>
    </row>
    <row r="183" spans="3:18" hidden="1" outlineLevel="1" x14ac:dyDescent="0.3">
      <c r="C183" s="307">
        <v>2054</v>
      </c>
      <c r="D183" s="307">
        <v>70</v>
      </c>
      <c r="E183" s="307">
        <v>35</v>
      </c>
      <c r="F183" s="307">
        <v>1</v>
      </c>
      <c r="G183" s="307">
        <v>0.76099099939548975</v>
      </c>
      <c r="H183" s="307">
        <v>0.22580126902189723</v>
      </c>
      <c r="I183" s="307">
        <v>1.1314082128906247</v>
      </c>
      <c r="J183" s="307">
        <v>2.7708090525081226</v>
      </c>
      <c r="K183" s="339">
        <v>2100</v>
      </c>
      <c r="L183" s="339">
        <v>6583.3238485546972</v>
      </c>
      <c r="M183" s="339">
        <v>5009.8501948558005</v>
      </c>
      <c r="N183" s="339">
        <v>1131.230531608039</v>
      </c>
      <c r="O183" s="339">
        <v>1000</v>
      </c>
      <c r="P183" s="339">
        <v>1000</v>
      </c>
      <c r="Q183" s="339">
        <v>760.99099939548978</v>
      </c>
      <c r="R183" s="339">
        <v>171.83273337774341</v>
      </c>
    </row>
    <row r="184" spans="3:18" hidden="1" outlineLevel="1" x14ac:dyDescent="0.3">
      <c r="C184" s="307">
        <v>2055</v>
      </c>
      <c r="D184" s="307">
        <v>71</v>
      </c>
      <c r="E184" s="307">
        <v>36</v>
      </c>
      <c r="F184" s="307">
        <v>1</v>
      </c>
      <c r="G184" s="307">
        <v>0.75091190409580877</v>
      </c>
      <c r="H184" s="307">
        <v>0.21504882763990213</v>
      </c>
      <c r="I184" s="307">
        <v>1.1540363771484372</v>
      </c>
      <c r="J184" s="307">
        <v>2.8539333240833664</v>
      </c>
      <c r="K184" s="339">
        <v>2100</v>
      </c>
      <c r="L184" s="339">
        <v>6916.4400352915663</v>
      </c>
      <c r="M184" s="339">
        <v>5193.6371564652727</v>
      </c>
      <c r="N184" s="339">
        <v>1116.8855816848918</v>
      </c>
      <c r="O184" s="339">
        <v>1000</v>
      </c>
      <c r="P184" s="339">
        <v>1000</v>
      </c>
      <c r="Q184" s="339">
        <v>750.91190409580872</v>
      </c>
      <c r="R184" s="339">
        <v>161.48272463665029</v>
      </c>
    </row>
    <row r="185" spans="3:18" hidden="1" outlineLevel="1" x14ac:dyDescent="0.3">
      <c r="C185" s="307">
        <v>2056</v>
      </c>
      <c r="D185" s="307">
        <v>72</v>
      </c>
      <c r="E185" s="307">
        <v>37</v>
      </c>
      <c r="F185" s="307">
        <v>1</v>
      </c>
      <c r="G185" s="307">
        <v>0.73954118684067538</v>
      </c>
      <c r="H185" s="307">
        <v>0.20480840727609725</v>
      </c>
      <c r="I185" s="307">
        <v>1.177117104691406</v>
      </c>
      <c r="J185" s="307">
        <v>2.9395513238058677</v>
      </c>
      <c r="K185" s="339">
        <v>2100</v>
      </c>
      <c r="L185" s="339">
        <v>7266.4119010773202</v>
      </c>
      <c r="M185" s="339">
        <v>5373.8108813959298</v>
      </c>
      <c r="N185" s="339">
        <v>1100.6016476216607</v>
      </c>
      <c r="O185" s="339">
        <v>1000</v>
      </c>
      <c r="P185" s="339">
        <v>1000</v>
      </c>
      <c r="Q185" s="339">
        <v>739.54118684067544</v>
      </c>
      <c r="R185" s="339">
        <v>151.46425259191338</v>
      </c>
    </row>
    <row r="186" spans="3:18" hidden="1" outlineLevel="1" x14ac:dyDescent="0.3">
      <c r="C186" s="307">
        <v>2057</v>
      </c>
      <c r="D186" s="307">
        <v>73</v>
      </c>
      <c r="E186" s="307">
        <v>38</v>
      </c>
      <c r="F186" s="307">
        <v>1</v>
      </c>
      <c r="G186" s="307">
        <v>0.72671709233030368</v>
      </c>
      <c r="H186" s="307">
        <v>0.19505562597723547</v>
      </c>
      <c r="I186" s="307">
        <v>1.2006594467852341</v>
      </c>
      <c r="J186" s="307">
        <v>3.0277378635200436</v>
      </c>
      <c r="K186" s="339">
        <v>2100</v>
      </c>
      <c r="L186" s="339">
        <v>7634.0923432718319</v>
      </c>
      <c r="M186" s="339">
        <v>5547.8253902835404</v>
      </c>
      <c r="N186" s="339">
        <v>1082.1345543141567</v>
      </c>
      <c r="O186" s="339">
        <v>1000</v>
      </c>
      <c r="P186" s="339">
        <v>1000</v>
      </c>
      <c r="Q186" s="339">
        <v>726.71709233030367</v>
      </c>
      <c r="R186" s="339">
        <v>141.75025735284382</v>
      </c>
    </row>
    <row r="187" spans="3:18" hidden="1" outlineLevel="1" x14ac:dyDescent="0.3">
      <c r="C187" s="307">
        <v>2058</v>
      </c>
      <c r="D187" s="307">
        <v>74</v>
      </c>
      <c r="E187" s="307">
        <v>39</v>
      </c>
      <c r="F187" s="307">
        <v>1</v>
      </c>
      <c r="G187" s="307">
        <v>0.71233691426354162</v>
      </c>
      <c r="H187" s="307">
        <v>0.18576726283546235</v>
      </c>
      <c r="I187" s="307">
        <v>1.2246726357209388</v>
      </c>
      <c r="J187" s="307">
        <v>3.1185699994256448</v>
      </c>
      <c r="K187" s="339">
        <v>2100</v>
      </c>
      <c r="L187" s="339">
        <v>8020.3774158413862</v>
      </c>
      <c r="M187" s="339">
        <v>5713.210899629451</v>
      </c>
      <c r="N187" s="339">
        <v>1061.3275508258926</v>
      </c>
      <c r="O187" s="339">
        <v>1000</v>
      </c>
      <c r="P187" s="339">
        <v>1000</v>
      </c>
      <c r="Q187" s="339">
        <v>712.33691426354164</v>
      </c>
      <c r="R187" s="339">
        <v>132.32887877939754</v>
      </c>
    </row>
    <row r="188" spans="3:18" hidden="1" outlineLevel="1" x14ac:dyDescent="0.3">
      <c r="C188" s="307">
        <v>2059</v>
      </c>
      <c r="D188" s="307">
        <v>75</v>
      </c>
      <c r="E188" s="307">
        <v>40</v>
      </c>
      <c r="F188" s="307">
        <v>1</v>
      </c>
      <c r="G188" s="307">
        <v>0.69628473000971236</v>
      </c>
      <c r="H188" s="307">
        <v>0.17692120270044032</v>
      </c>
      <c r="I188" s="307">
        <v>1.2491660884353575</v>
      </c>
      <c r="J188" s="307">
        <v>3.2121270994084141</v>
      </c>
      <c r="K188" s="339">
        <v>2100</v>
      </c>
      <c r="L188" s="339">
        <v>8426.2085130829601</v>
      </c>
      <c r="M188" s="339">
        <v>5867.0403195375084</v>
      </c>
      <c r="N188" s="339">
        <v>1038.0038296245516</v>
      </c>
      <c r="O188" s="339">
        <v>1000</v>
      </c>
      <c r="P188" s="339">
        <v>1000</v>
      </c>
      <c r="Q188" s="339">
        <v>696.28473000971235</v>
      </c>
      <c r="R188" s="339">
        <v>123.18753185526968</v>
      </c>
    </row>
    <row r="189" spans="3:18" hidden="1" outlineLevel="1" x14ac:dyDescent="0.3">
      <c r="C189" s="307">
        <v>2060</v>
      </c>
      <c r="D189" s="307">
        <v>76</v>
      </c>
      <c r="E189" s="307">
        <v>41</v>
      </c>
      <c r="F189" s="307">
        <v>1</v>
      </c>
      <c r="G189" s="307">
        <v>0.67847337196075141</v>
      </c>
      <c r="H189" s="307">
        <v>0.16849638352422885</v>
      </c>
      <c r="I189" s="307">
        <v>1.2679035797618876</v>
      </c>
      <c r="J189" s="307">
        <v>3.3084909123906665</v>
      </c>
      <c r="K189" s="339">
        <v>2100</v>
      </c>
      <c r="L189" s="339">
        <v>8809.1796900025802</v>
      </c>
      <c r="M189" s="339">
        <v>5976.7938484842171</v>
      </c>
      <c r="N189" s="339">
        <v>1007.0681485394484</v>
      </c>
      <c r="O189" s="339">
        <v>1000</v>
      </c>
      <c r="P189" s="339">
        <v>1000</v>
      </c>
      <c r="Q189" s="339">
        <v>678.47337196075136</v>
      </c>
      <c r="R189" s="339">
        <v>114.32030949287554</v>
      </c>
    </row>
    <row r="190" spans="3:18" hidden="1" outlineLevel="1" x14ac:dyDescent="0.3">
      <c r="C190" s="307">
        <v>2061</v>
      </c>
      <c r="D190" s="307">
        <v>77</v>
      </c>
      <c r="E190" s="307">
        <v>42</v>
      </c>
      <c r="F190" s="307">
        <v>1</v>
      </c>
      <c r="G190" s="307">
        <v>0.65884793814485254</v>
      </c>
      <c r="H190" s="307">
        <v>0.16047274621355129</v>
      </c>
      <c r="I190" s="307">
        <v>1.2869221334583159</v>
      </c>
      <c r="J190" s="307">
        <v>3.4077456397623864</v>
      </c>
      <c r="K190" s="339">
        <v>2100</v>
      </c>
      <c r="L190" s="339">
        <v>9209.5569069131961</v>
      </c>
      <c r="M190" s="339">
        <v>6067.6975793474448</v>
      </c>
      <c r="N190" s="339">
        <v>973.70009375120196</v>
      </c>
      <c r="O190" s="339">
        <v>1000</v>
      </c>
      <c r="P190" s="339">
        <v>1000</v>
      </c>
      <c r="Q190" s="339">
        <v>658.84793814485249</v>
      </c>
      <c r="R190" s="339">
        <v>105.72713797124045</v>
      </c>
    </row>
    <row r="191" spans="3:18" hidden="1" outlineLevel="1" x14ac:dyDescent="0.3">
      <c r="C191" s="307">
        <v>2062</v>
      </c>
      <c r="D191" s="307">
        <v>78</v>
      </c>
      <c r="E191" s="307">
        <v>43</v>
      </c>
      <c r="F191" s="307">
        <v>1</v>
      </c>
      <c r="G191" s="307">
        <v>0.63738901021444172</v>
      </c>
      <c r="H191" s="307">
        <v>0.15283118687004885</v>
      </c>
      <c r="I191" s="307">
        <v>1.3062259654601904</v>
      </c>
      <c r="J191" s="307">
        <v>3.5099780089552581</v>
      </c>
      <c r="K191" s="339">
        <v>2100</v>
      </c>
      <c r="L191" s="339">
        <v>9628.1312683323995</v>
      </c>
      <c r="M191" s="339">
        <v>6136.8650593371058</v>
      </c>
      <c r="N191" s="339">
        <v>937.90437067982259</v>
      </c>
      <c r="O191" s="339">
        <v>1000</v>
      </c>
      <c r="P191" s="339">
        <v>1000</v>
      </c>
      <c r="Q191" s="339">
        <v>637.38901021444167</v>
      </c>
      <c r="R191" s="339">
        <v>97.412918928998806</v>
      </c>
    </row>
    <row r="192" spans="3:18" hidden="1" outlineLevel="1" x14ac:dyDescent="0.3">
      <c r="C192" s="307">
        <v>2063</v>
      </c>
      <c r="D192" s="307">
        <v>79</v>
      </c>
      <c r="E192" s="307">
        <v>44</v>
      </c>
      <c r="F192" s="307">
        <v>1</v>
      </c>
      <c r="G192" s="307">
        <v>0.61414668724683197</v>
      </c>
      <c r="H192" s="307">
        <v>0.14555351130480843</v>
      </c>
      <c r="I192" s="307">
        <v>1.3258193549420931</v>
      </c>
      <c r="J192" s="307">
        <v>3.6152773492239159</v>
      </c>
      <c r="K192" s="339">
        <v>2100</v>
      </c>
      <c r="L192" s="339">
        <v>10065.729834478107</v>
      </c>
      <c r="M192" s="339">
        <v>6181.8346325663315</v>
      </c>
      <c r="N192" s="339">
        <v>899.78773707569974</v>
      </c>
      <c r="O192" s="339">
        <v>1000</v>
      </c>
      <c r="P192" s="339">
        <v>1000</v>
      </c>
      <c r="Q192" s="339">
        <v>614.14668724683202</v>
      </c>
      <c r="R192" s="339">
        <v>89.391206784992406</v>
      </c>
    </row>
    <row r="193" spans="3:18" hidden="1" outlineLevel="1" x14ac:dyDescent="0.3">
      <c r="C193" s="307">
        <v>2064</v>
      </c>
      <c r="D193" s="307">
        <v>80</v>
      </c>
      <c r="E193" s="307">
        <v>45</v>
      </c>
      <c r="F193" s="307">
        <v>1</v>
      </c>
      <c r="G193" s="307">
        <v>0.58917743669067546</v>
      </c>
      <c r="H193" s="307">
        <v>0.13862239171886517</v>
      </c>
      <c r="I193" s="307">
        <v>1.3457066452662243</v>
      </c>
      <c r="J193" s="307">
        <v>3.7237356697006336</v>
      </c>
      <c r="K193" s="339">
        <v>2100</v>
      </c>
      <c r="L193" s="339">
        <v>10523.217255455134</v>
      </c>
      <c r="M193" s="339">
        <v>6200.0421683081413</v>
      </c>
      <c r="N193" s="339">
        <v>859.46467412869333</v>
      </c>
      <c r="O193" s="339">
        <v>1000</v>
      </c>
      <c r="P193" s="339">
        <v>1000</v>
      </c>
      <c r="Q193" s="339">
        <v>589.17743669067545</v>
      </c>
      <c r="R193" s="339">
        <v>81.673185420851695</v>
      </c>
    </row>
    <row r="194" spans="3:18" hidden="1" outlineLevel="1" x14ac:dyDescent="0.3">
      <c r="C194" s="307">
        <v>2065</v>
      </c>
      <c r="D194" s="307">
        <v>81</v>
      </c>
      <c r="E194" s="307">
        <v>46</v>
      </c>
      <c r="F194" s="307">
        <v>1</v>
      </c>
      <c r="G194" s="307">
        <v>0.5625186945210614</v>
      </c>
      <c r="H194" s="307">
        <v>0.13202132544653825</v>
      </c>
      <c r="I194" s="307">
        <v>1.3591637117188866</v>
      </c>
      <c r="J194" s="307">
        <v>3.8354477397916527</v>
      </c>
      <c r="K194" s="339">
        <v>2100</v>
      </c>
      <c r="L194" s="339">
        <v>10947.302910849978</v>
      </c>
      <c r="M194" s="339">
        <v>6158.0625419379448</v>
      </c>
      <c r="N194" s="339">
        <v>812.99557896932595</v>
      </c>
      <c r="O194" s="339">
        <v>1000</v>
      </c>
      <c r="P194" s="339">
        <v>1000</v>
      </c>
      <c r="Q194" s="339">
        <v>562.51869452106143</v>
      </c>
      <c r="R194" s="339">
        <v>74.264463639126888</v>
      </c>
    </row>
    <row r="195" spans="3:18" hidden="1" outlineLevel="1" x14ac:dyDescent="0.3">
      <c r="C195" s="307">
        <v>2066</v>
      </c>
      <c r="D195" s="307">
        <v>82</v>
      </c>
      <c r="E195" s="307">
        <v>47</v>
      </c>
      <c r="F195" s="307">
        <v>1</v>
      </c>
      <c r="G195" s="307">
        <v>0.534314615711035</v>
      </c>
      <c r="H195" s="307">
        <v>0.12573459566336975</v>
      </c>
      <c r="I195" s="307">
        <v>1.3727553488360755</v>
      </c>
      <c r="J195" s="307">
        <v>3.9505111719854025</v>
      </c>
      <c r="K195" s="339">
        <v>2100</v>
      </c>
      <c r="L195" s="339">
        <v>11388.479218157234</v>
      </c>
      <c r="M195" s="339">
        <v>6085.0308969827911</v>
      </c>
      <c r="N195" s="339">
        <v>765.09889943124335</v>
      </c>
      <c r="O195" s="339">
        <v>1000</v>
      </c>
      <c r="P195" s="339">
        <v>1000</v>
      </c>
      <c r="Q195" s="339">
        <v>534.314615711035</v>
      </c>
      <c r="R195" s="339">
        <v>67.18183216345578</v>
      </c>
    </row>
    <row r="196" spans="3:18" hidden="1" outlineLevel="1" x14ac:dyDescent="0.3">
      <c r="C196" s="307">
        <v>2067</v>
      </c>
      <c r="D196" s="307">
        <v>83</v>
      </c>
      <c r="E196" s="307">
        <v>48</v>
      </c>
      <c r="F196" s="307">
        <v>1</v>
      </c>
      <c r="G196" s="307">
        <v>0.50475262858610526</v>
      </c>
      <c r="H196" s="307">
        <v>0.11974723396511404</v>
      </c>
      <c r="I196" s="307">
        <v>1.3864829023244363</v>
      </c>
      <c r="J196" s="307">
        <v>4.0690265071449643</v>
      </c>
      <c r="K196" s="339">
        <v>2100</v>
      </c>
      <c r="L196" s="339">
        <v>11847.434930648969</v>
      </c>
      <c r="M196" s="339">
        <v>5980.0239232479089</v>
      </c>
      <c r="N196" s="339">
        <v>716.09132385414648</v>
      </c>
      <c r="O196" s="339">
        <v>1000</v>
      </c>
      <c r="P196" s="339">
        <v>1000</v>
      </c>
      <c r="Q196" s="339">
        <v>504.75262858610523</v>
      </c>
      <c r="R196" s="339">
        <v>60.442731109806651</v>
      </c>
    </row>
    <row r="197" spans="3:18" hidden="1" outlineLevel="1" x14ac:dyDescent="0.3">
      <c r="C197" s="307">
        <v>2068</v>
      </c>
      <c r="D197" s="307">
        <v>84</v>
      </c>
      <c r="E197" s="307">
        <v>49</v>
      </c>
      <c r="F197" s="307">
        <v>1</v>
      </c>
      <c r="G197" s="307">
        <v>0.47403099591910092</v>
      </c>
      <c r="H197" s="307">
        <v>0.11404498472868004</v>
      </c>
      <c r="I197" s="307">
        <v>1.4003477313476806</v>
      </c>
      <c r="J197" s="307">
        <v>4.1910973023593137</v>
      </c>
      <c r="K197" s="339">
        <v>2100</v>
      </c>
      <c r="L197" s="339">
        <v>12324.886558354123</v>
      </c>
      <c r="M197" s="339">
        <v>5842.3782498465453</v>
      </c>
      <c r="N197" s="339">
        <v>666.29393828292166</v>
      </c>
      <c r="O197" s="339">
        <v>1000</v>
      </c>
      <c r="P197" s="339">
        <v>1000</v>
      </c>
      <c r="Q197" s="339">
        <v>474.03099591910092</v>
      </c>
      <c r="R197" s="339">
        <v>54.060857690514851</v>
      </c>
    </row>
    <row r="198" spans="3:18" hidden="1" outlineLevel="1" x14ac:dyDescent="0.3">
      <c r="C198" s="307">
        <v>2069</v>
      </c>
      <c r="D198" s="307">
        <v>85</v>
      </c>
      <c r="E198" s="307">
        <v>50</v>
      </c>
      <c r="F198" s="307">
        <v>1</v>
      </c>
      <c r="G198" s="307">
        <v>0.44238966442216721</v>
      </c>
      <c r="H198" s="307">
        <v>0.10861427117017146</v>
      </c>
      <c r="I198" s="307">
        <v>1.4143512086611574</v>
      </c>
      <c r="J198" s="307">
        <v>4.3168302214300933</v>
      </c>
      <c r="K198" s="339">
        <v>2100</v>
      </c>
      <c r="L198" s="339">
        <v>12821.579486655795</v>
      </c>
      <c r="M198" s="339">
        <v>5672.1342464638001</v>
      </c>
      <c r="N198" s="339">
        <v>616.07472715903532</v>
      </c>
      <c r="O198" s="339">
        <v>1000</v>
      </c>
      <c r="P198" s="339">
        <v>1000</v>
      </c>
      <c r="Q198" s="339">
        <v>442.38966442216719</v>
      </c>
      <c r="R198" s="339">
        <v>48.049830974430421</v>
      </c>
    </row>
    <row r="199" spans="3:18" hidden="1" outlineLevel="1" x14ac:dyDescent="0.3">
      <c r="C199" s="307">
        <v>2070</v>
      </c>
      <c r="D199" s="307">
        <v>86</v>
      </c>
      <c r="E199" s="307">
        <v>51</v>
      </c>
      <c r="F199" s="307">
        <v>1</v>
      </c>
      <c r="G199" s="307">
        <v>0.41003829342478615</v>
      </c>
      <c r="H199" s="307">
        <v>0.10344216301921091</v>
      </c>
      <c r="I199" s="307">
        <v>1.4214229647044629</v>
      </c>
      <c r="J199" s="307">
        <v>4.4463351280729961</v>
      </c>
      <c r="K199" s="339">
        <v>2100</v>
      </c>
      <c r="L199" s="339">
        <v>13272.258005611744</v>
      </c>
      <c r="M199" s="339">
        <v>5442.134022514495</v>
      </c>
      <c r="N199" s="339">
        <v>562.94611472933843</v>
      </c>
      <c r="O199" s="339">
        <v>1000</v>
      </c>
      <c r="P199" s="339">
        <v>1000</v>
      </c>
      <c r="Q199" s="339">
        <v>410.03829342478616</v>
      </c>
      <c r="R199" s="339">
        <v>42.415247992565767</v>
      </c>
    </row>
    <row r="200" spans="3:18" hidden="1" outlineLevel="1" x14ac:dyDescent="0.3">
      <c r="C200" s="307">
        <v>2071</v>
      </c>
      <c r="D200" s="307">
        <v>87</v>
      </c>
      <c r="E200" s="307">
        <v>52</v>
      </c>
      <c r="F200" s="307">
        <v>1</v>
      </c>
      <c r="G200" s="307">
        <v>0.37719232451930973</v>
      </c>
      <c r="H200" s="307">
        <v>9.851634573258182E-2</v>
      </c>
      <c r="I200" s="307">
        <v>1.4285300795279852</v>
      </c>
      <c r="J200" s="307">
        <v>4.5797251819151858</v>
      </c>
      <c r="K200" s="339">
        <v>2100</v>
      </c>
      <c r="L200" s="339">
        <v>13738.777874508996</v>
      </c>
      <c r="M200" s="339">
        <v>5182.1615625405093</v>
      </c>
      <c r="N200" s="339">
        <v>510.52762013733724</v>
      </c>
      <c r="O200" s="339">
        <v>1000</v>
      </c>
      <c r="P200" s="339">
        <v>1000</v>
      </c>
      <c r="Q200" s="339">
        <v>377.19232451930975</v>
      </c>
      <c r="R200" s="339">
        <v>37.159609450020518</v>
      </c>
    </row>
    <row r="201" spans="3:18" hidden="1" outlineLevel="1" x14ac:dyDescent="0.3">
      <c r="C201" s="307">
        <v>2072</v>
      </c>
      <c r="D201" s="307">
        <v>88</v>
      </c>
      <c r="E201" s="307">
        <v>53</v>
      </c>
      <c r="F201" s="307">
        <v>1</v>
      </c>
      <c r="G201" s="307">
        <v>0.34410318346216362</v>
      </c>
      <c r="H201" s="307">
        <v>9.3825091173887445E-2</v>
      </c>
      <c r="I201" s="307">
        <v>1.4356727299256249</v>
      </c>
      <c r="J201" s="307">
        <v>4.7171169373726416</v>
      </c>
      <c r="K201" s="339">
        <v>2100</v>
      </c>
      <c r="L201" s="339">
        <v>14221.695916797986</v>
      </c>
      <c r="M201" s="339">
        <v>4893.7308392010409</v>
      </c>
      <c r="N201" s="339">
        <v>459.15474216850237</v>
      </c>
      <c r="O201" s="339">
        <v>1000</v>
      </c>
      <c r="P201" s="339">
        <v>1000</v>
      </c>
      <c r="Q201" s="339">
        <v>344.1031834621636</v>
      </c>
      <c r="R201" s="339">
        <v>32.28551256156242</v>
      </c>
    </row>
    <row r="202" spans="3:18" hidden="1" outlineLevel="1" x14ac:dyDescent="0.3">
      <c r="C202" s="307">
        <v>2073</v>
      </c>
      <c r="D202" s="307">
        <v>89</v>
      </c>
      <c r="E202" s="307">
        <v>54</v>
      </c>
      <c r="F202" s="307">
        <v>1</v>
      </c>
      <c r="G202" s="307">
        <v>0.31092433288219679</v>
      </c>
      <c r="H202" s="307">
        <v>8.9357229689416617E-2</v>
      </c>
      <c r="I202" s="307">
        <v>1.4428510935752528</v>
      </c>
      <c r="J202" s="307">
        <v>4.8586304454938212</v>
      </c>
      <c r="K202" s="339">
        <v>2100</v>
      </c>
      <c r="L202" s="339">
        <v>14721.588528273434</v>
      </c>
      <c r="M202" s="339">
        <v>4577.300092119619</v>
      </c>
      <c r="N202" s="339">
        <v>409.01485568892065</v>
      </c>
      <c r="O202" s="339">
        <v>1000</v>
      </c>
      <c r="P202" s="339">
        <v>1000</v>
      </c>
      <c r="Q202" s="339">
        <v>310.92433288219678</v>
      </c>
      <c r="R202" s="339">
        <v>27.783337029383091</v>
      </c>
    </row>
    <row r="203" spans="3:18" hidden="1" outlineLevel="1" x14ac:dyDescent="0.3">
      <c r="C203" s="307">
        <v>2074</v>
      </c>
      <c r="D203" s="307">
        <v>90</v>
      </c>
      <c r="E203" s="307">
        <v>55</v>
      </c>
      <c r="F203" s="307">
        <v>1</v>
      </c>
      <c r="G203" s="307">
        <v>0.27786614903500484</v>
      </c>
      <c r="H203" s="307">
        <v>8.5102123513730102E-2</v>
      </c>
      <c r="I203" s="307">
        <v>1.4500653490431288</v>
      </c>
      <c r="J203" s="307">
        <v>5.0043893588586359</v>
      </c>
      <c r="K203" s="339">
        <v>2100</v>
      </c>
      <c r="L203" s="339">
        <v>15239.05236504224</v>
      </c>
      <c r="M203" s="339">
        <v>4234.4167956170704</v>
      </c>
      <c r="N203" s="339">
        <v>360.35786114921717</v>
      </c>
      <c r="O203" s="339">
        <v>1000</v>
      </c>
      <c r="P203" s="339">
        <v>1000</v>
      </c>
      <c r="Q203" s="339">
        <v>277.86614903500487</v>
      </c>
      <c r="R203" s="339">
        <v>23.646999335461519</v>
      </c>
    </row>
    <row r="204" spans="3:18" collapsed="1" x14ac:dyDescent="0.3"/>
    <row r="205" spans="3:18" x14ac:dyDescent="0.3">
      <c r="C205" s="123" t="s">
        <v>1202</v>
      </c>
    </row>
    <row r="206" spans="3:18" ht="57.6" x14ac:dyDescent="0.3">
      <c r="C206" s="340" t="s">
        <v>291</v>
      </c>
      <c r="D206" s="340" t="s">
        <v>7</v>
      </c>
      <c r="E206" s="340" t="s">
        <v>1095</v>
      </c>
      <c r="F206" s="340" t="s">
        <v>1201</v>
      </c>
      <c r="G206" s="340" t="s">
        <v>1200</v>
      </c>
      <c r="H206" s="340" t="s">
        <v>1199</v>
      </c>
      <c r="I206" s="340" t="s">
        <v>1198</v>
      </c>
      <c r="J206" s="340" t="s">
        <v>1197</v>
      </c>
      <c r="K206" s="340" t="s">
        <v>1196</v>
      </c>
      <c r="L206" s="340" t="s">
        <v>1195</v>
      </c>
      <c r="M206" s="340" t="s">
        <v>1194</v>
      </c>
      <c r="N206" s="340" t="s">
        <v>1193</v>
      </c>
      <c r="O206" s="340" t="s">
        <v>1192</v>
      </c>
      <c r="P206" s="340" t="s">
        <v>1191</v>
      </c>
      <c r="Q206" s="340" t="s">
        <v>1190</v>
      </c>
      <c r="R206" s="340" t="s">
        <v>1189</v>
      </c>
    </row>
    <row r="207" spans="3:18" hidden="1" outlineLevel="1" x14ac:dyDescent="0.3">
      <c r="C207" s="307">
        <v>2024</v>
      </c>
      <c r="D207" s="307">
        <v>40</v>
      </c>
      <c r="E207" s="307">
        <v>5</v>
      </c>
      <c r="F207" s="307">
        <v>0</v>
      </c>
      <c r="G207" s="307">
        <v>0</v>
      </c>
      <c r="H207" s="307">
        <v>0.97590007294853309</v>
      </c>
      <c r="I207" s="307">
        <v>0.47760556926165926</v>
      </c>
      <c r="J207" s="307">
        <v>1</v>
      </c>
      <c r="K207" s="339">
        <v>15000</v>
      </c>
      <c r="L207" s="339">
        <v>7164.0835389248887</v>
      </c>
      <c r="M207" s="339">
        <v>0</v>
      </c>
      <c r="N207" s="339">
        <v>0</v>
      </c>
      <c r="O207" s="339">
        <v>0.2</v>
      </c>
      <c r="P207" s="339">
        <v>1432.8167077849778</v>
      </c>
      <c r="Q207" s="339">
        <v>0</v>
      </c>
      <c r="R207" s="339">
        <v>0</v>
      </c>
    </row>
    <row r="208" spans="3:18" hidden="1" outlineLevel="1" x14ac:dyDescent="0.3">
      <c r="C208" s="307">
        <v>2025</v>
      </c>
      <c r="D208" s="307">
        <v>41</v>
      </c>
      <c r="E208" s="307">
        <v>6</v>
      </c>
      <c r="F208" s="307">
        <v>0</v>
      </c>
      <c r="G208" s="307">
        <v>0</v>
      </c>
      <c r="H208" s="307">
        <v>0.92942864090336486</v>
      </c>
      <c r="I208" s="307">
        <v>0.49193373633950904</v>
      </c>
      <c r="J208" s="307">
        <v>1.0549999999999999</v>
      </c>
      <c r="K208" s="339">
        <v>15000</v>
      </c>
      <c r="L208" s="339">
        <v>7784.8513775727297</v>
      </c>
      <c r="M208" s="339">
        <v>0</v>
      </c>
      <c r="N208" s="339">
        <v>0</v>
      </c>
      <c r="O208" s="339">
        <v>0.2</v>
      </c>
      <c r="P208" s="339">
        <v>1556.9702755145461</v>
      </c>
      <c r="Q208" s="339">
        <v>0</v>
      </c>
      <c r="R208" s="339">
        <v>0</v>
      </c>
    </row>
    <row r="209" spans="3:18" hidden="1" outlineLevel="1" x14ac:dyDescent="0.3">
      <c r="C209" s="307">
        <v>2026</v>
      </c>
      <c r="D209" s="307">
        <v>42</v>
      </c>
      <c r="E209" s="307">
        <v>7</v>
      </c>
      <c r="F209" s="307">
        <v>0</v>
      </c>
      <c r="G209" s="307">
        <v>0</v>
      </c>
      <c r="H209" s="307">
        <v>0.88517013419368074</v>
      </c>
      <c r="I209" s="307">
        <v>0.50669174842969433</v>
      </c>
      <c r="J209" s="307">
        <v>1.1103874999999999</v>
      </c>
      <c r="K209" s="339">
        <v>15000</v>
      </c>
      <c r="L209" s="339">
        <v>8439.3627571421566</v>
      </c>
      <c r="M209" s="339">
        <v>0</v>
      </c>
      <c r="N209" s="339">
        <v>0</v>
      </c>
      <c r="O209" s="339">
        <v>0.2</v>
      </c>
      <c r="P209" s="339">
        <v>1687.8725514284315</v>
      </c>
      <c r="Q209" s="339">
        <v>0</v>
      </c>
      <c r="R209" s="339">
        <v>0</v>
      </c>
    </row>
    <row r="210" spans="3:18" hidden="1" outlineLevel="1" x14ac:dyDescent="0.3">
      <c r="C210" s="307">
        <v>2027</v>
      </c>
      <c r="D210" s="307">
        <v>43</v>
      </c>
      <c r="E210" s="307">
        <v>8</v>
      </c>
      <c r="F210" s="307">
        <v>0</v>
      </c>
      <c r="G210" s="307">
        <v>0</v>
      </c>
      <c r="H210" s="307">
        <v>0.843019175422553</v>
      </c>
      <c r="I210" s="307">
        <v>0.52189250088258521</v>
      </c>
      <c r="J210" s="307">
        <v>1.1659068749999999</v>
      </c>
      <c r="K210" s="339">
        <v>15000</v>
      </c>
      <c r="L210" s="339">
        <v>9127.170821849244</v>
      </c>
      <c r="M210" s="339">
        <v>0</v>
      </c>
      <c r="N210" s="339">
        <v>0</v>
      </c>
      <c r="O210" s="339">
        <v>0.2</v>
      </c>
      <c r="P210" s="339">
        <v>1825.434164369849</v>
      </c>
      <c r="Q210" s="339">
        <v>0</v>
      </c>
      <c r="R210" s="339">
        <v>0</v>
      </c>
    </row>
    <row r="211" spans="3:18" hidden="1" outlineLevel="1" x14ac:dyDescent="0.3">
      <c r="C211" s="307">
        <v>2028</v>
      </c>
      <c r="D211" s="307">
        <v>44</v>
      </c>
      <c r="E211" s="307">
        <v>9</v>
      </c>
      <c r="F211" s="307">
        <v>0</v>
      </c>
      <c r="G211" s="307">
        <v>0</v>
      </c>
      <c r="H211" s="307">
        <v>0.8028754051643362</v>
      </c>
      <c r="I211" s="307">
        <v>0.53754927590906276</v>
      </c>
      <c r="J211" s="307">
        <v>1.2212874515624998</v>
      </c>
      <c r="K211" s="339">
        <v>15000</v>
      </c>
      <c r="L211" s="339">
        <v>9847.5327789636958</v>
      </c>
      <c r="M211" s="339">
        <v>0</v>
      </c>
      <c r="N211" s="339">
        <v>0</v>
      </c>
      <c r="O211" s="339">
        <v>0.2</v>
      </c>
      <c r="P211" s="339">
        <v>1969.5065557927392</v>
      </c>
      <c r="Q211" s="339">
        <v>0</v>
      </c>
      <c r="R211" s="339">
        <v>0</v>
      </c>
    </row>
    <row r="212" spans="3:18" hidden="1" outlineLevel="1" x14ac:dyDescent="0.3">
      <c r="C212" s="307">
        <v>2029</v>
      </c>
      <c r="D212" s="307">
        <v>45</v>
      </c>
      <c r="E212" s="307">
        <v>10</v>
      </c>
      <c r="F212" s="307">
        <v>0</v>
      </c>
      <c r="G212" s="307">
        <v>0</v>
      </c>
      <c r="H212" s="307">
        <v>0.7646432430136535</v>
      </c>
      <c r="I212" s="307">
        <v>0.55367575418633463</v>
      </c>
      <c r="J212" s="307">
        <v>1.2762453868828123</v>
      </c>
      <c r="K212" s="339">
        <v>15000</v>
      </c>
      <c r="L212" s="339">
        <v>10599.391906637573</v>
      </c>
      <c r="M212" s="339">
        <v>0</v>
      </c>
      <c r="N212" s="339">
        <v>0</v>
      </c>
      <c r="O212" s="339">
        <v>0.2</v>
      </c>
      <c r="P212" s="339">
        <v>2119.8783813275145</v>
      </c>
      <c r="Q212" s="339">
        <v>0</v>
      </c>
      <c r="R212" s="339">
        <v>0</v>
      </c>
    </row>
    <row r="213" spans="3:18" hidden="1" outlineLevel="1" x14ac:dyDescent="0.3">
      <c r="C213" s="307">
        <v>2030</v>
      </c>
      <c r="D213" s="307">
        <v>46</v>
      </c>
      <c r="E213" s="307">
        <v>11</v>
      </c>
      <c r="F213" s="307">
        <v>0</v>
      </c>
      <c r="G213" s="307">
        <v>0</v>
      </c>
      <c r="H213" s="307">
        <v>0.72823166001300332</v>
      </c>
      <c r="I213" s="307">
        <v>0.57028602681192464</v>
      </c>
      <c r="J213" s="307">
        <v>1.3304858158253319</v>
      </c>
      <c r="K213" s="339">
        <v>15000</v>
      </c>
      <c r="L213" s="339">
        <v>11381.362044549758</v>
      </c>
      <c r="M213" s="339">
        <v>0</v>
      </c>
      <c r="N213" s="339">
        <v>0</v>
      </c>
      <c r="O213" s="339">
        <v>0.2</v>
      </c>
      <c r="P213" s="339">
        <v>2276.2724089099515</v>
      </c>
      <c r="Q213" s="339">
        <v>0</v>
      </c>
      <c r="R213" s="339">
        <v>0</v>
      </c>
    </row>
    <row r="214" spans="3:18" hidden="1" outlineLevel="1" x14ac:dyDescent="0.3">
      <c r="C214" s="307">
        <v>2031</v>
      </c>
      <c r="D214" s="307">
        <v>47</v>
      </c>
      <c r="E214" s="307">
        <v>12</v>
      </c>
      <c r="F214" s="307">
        <v>0</v>
      </c>
      <c r="G214" s="307">
        <v>0</v>
      </c>
      <c r="H214" s="307">
        <v>0.69355396191714602</v>
      </c>
      <c r="I214" s="307">
        <v>0.58739460761628237</v>
      </c>
      <c r="J214" s="307">
        <v>1.3837052484583452</v>
      </c>
      <c r="K214" s="339">
        <v>15000</v>
      </c>
      <c r="L214" s="339">
        <v>12191.715022121702</v>
      </c>
      <c r="M214" s="339">
        <v>0</v>
      </c>
      <c r="N214" s="339">
        <v>0</v>
      </c>
      <c r="O214" s="339">
        <v>0.2</v>
      </c>
      <c r="P214" s="339">
        <v>2438.3430044243405</v>
      </c>
      <c r="Q214" s="339">
        <v>0</v>
      </c>
      <c r="R214" s="339">
        <v>0</v>
      </c>
    </row>
    <row r="215" spans="3:18" hidden="1" outlineLevel="1" x14ac:dyDescent="0.3">
      <c r="C215" s="307">
        <v>2032</v>
      </c>
      <c r="D215" s="307">
        <v>48</v>
      </c>
      <c r="E215" s="307">
        <v>13</v>
      </c>
      <c r="F215" s="307">
        <v>0</v>
      </c>
      <c r="G215" s="307">
        <v>0</v>
      </c>
      <c r="H215" s="307">
        <v>0.66052758277823431</v>
      </c>
      <c r="I215" s="307">
        <v>0.60501644584477088</v>
      </c>
      <c r="J215" s="307">
        <v>1.4355941952755333</v>
      </c>
      <c r="K215" s="339">
        <v>15000</v>
      </c>
      <c r="L215" s="339">
        <v>13028.371465514807</v>
      </c>
      <c r="M215" s="339">
        <v>0</v>
      </c>
      <c r="N215" s="339">
        <v>0</v>
      </c>
      <c r="O215" s="339">
        <v>0.2</v>
      </c>
      <c r="P215" s="339">
        <v>2605.6742931029617</v>
      </c>
      <c r="Q215" s="339">
        <v>0</v>
      </c>
      <c r="R215" s="339">
        <v>0</v>
      </c>
    </row>
    <row r="216" spans="3:18" hidden="1" outlineLevel="1" x14ac:dyDescent="0.3">
      <c r="C216" s="307">
        <v>2033</v>
      </c>
      <c r="D216" s="307">
        <v>49</v>
      </c>
      <c r="E216" s="307">
        <v>14</v>
      </c>
      <c r="F216" s="307">
        <v>0</v>
      </c>
      <c r="G216" s="307">
        <v>0</v>
      </c>
      <c r="H216" s="307">
        <v>0.62907388836022315</v>
      </c>
      <c r="I216" s="307">
        <v>0.62316693922011401</v>
      </c>
      <c r="J216" s="307">
        <v>1.4858399921101768</v>
      </c>
      <c r="K216" s="339">
        <v>15000</v>
      </c>
      <c r="L216" s="339">
        <v>13888.895400812058</v>
      </c>
      <c r="M216" s="339">
        <v>0</v>
      </c>
      <c r="N216" s="339">
        <v>0</v>
      </c>
      <c r="O216" s="339">
        <v>0.2</v>
      </c>
      <c r="P216" s="339">
        <v>2777.7790801624119</v>
      </c>
      <c r="Q216" s="339">
        <v>0</v>
      </c>
      <c r="R216" s="339">
        <v>0</v>
      </c>
    </row>
    <row r="217" spans="3:18" hidden="1" outlineLevel="1" x14ac:dyDescent="0.3">
      <c r="C217" s="307">
        <v>2034</v>
      </c>
      <c r="D217" s="307">
        <v>50</v>
      </c>
      <c r="E217" s="307">
        <v>15</v>
      </c>
      <c r="F217" s="307">
        <v>0</v>
      </c>
      <c r="G217" s="307">
        <v>0</v>
      </c>
      <c r="H217" s="307">
        <v>0.59911798891449819</v>
      </c>
      <c r="I217" s="307">
        <v>0.64186194739671742</v>
      </c>
      <c r="J217" s="307">
        <v>1.5341297918537575</v>
      </c>
      <c r="K217" s="339">
        <v>15000</v>
      </c>
      <c r="L217" s="339">
        <v>14770.493036378604</v>
      </c>
      <c r="M217" s="339">
        <v>0</v>
      </c>
      <c r="N217" s="339">
        <v>0</v>
      </c>
      <c r="O217" s="339">
        <v>0.2</v>
      </c>
      <c r="P217" s="339">
        <v>2954.098607275721</v>
      </c>
      <c r="Q217" s="339">
        <v>0</v>
      </c>
      <c r="R217" s="339">
        <v>0</v>
      </c>
    </row>
    <row r="218" spans="3:18" hidden="1" outlineLevel="1" x14ac:dyDescent="0.3">
      <c r="C218" s="307">
        <v>2035</v>
      </c>
      <c r="D218" s="307">
        <v>51</v>
      </c>
      <c r="E218" s="307">
        <v>16</v>
      </c>
      <c r="F218" s="307">
        <v>0</v>
      </c>
      <c r="G218" s="307">
        <v>0</v>
      </c>
      <c r="H218" s="307">
        <v>0.57058856087095067</v>
      </c>
      <c r="I218" s="307">
        <v>0.66111780581861901</v>
      </c>
      <c r="J218" s="307">
        <v>1.5801536856093703</v>
      </c>
      <c r="K218" s="339">
        <v>15000</v>
      </c>
      <c r="L218" s="339">
        <v>15670.016062294062</v>
      </c>
      <c r="M218" s="339">
        <v>0</v>
      </c>
      <c r="N218" s="339">
        <v>0</v>
      </c>
      <c r="O218" s="339">
        <v>0.2</v>
      </c>
      <c r="P218" s="339">
        <v>3134.0032124588124</v>
      </c>
      <c r="Q218" s="339">
        <v>0</v>
      </c>
      <c r="R218" s="339">
        <v>0</v>
      </c>
    </row>
    <row r="219" spans="3:18" hidden="1" outlineLevel="1" x14ac:dyDescent="0.3">
      <c r="C219" s="307">
        <v>2036</v>
      </c>
      <c r="D219" s="307">
        <v>52</v>
      </c>
      <c r="E219" s="307">
        <v>17</v>
      </c>
      <c r="F219" s="307">
        <v>0</v>
      </c>
      <c r="G219" s="307">
        <v>0</v>
      </c>
      <c r="H219" s="307">
        <v>0.54341767701995303</v>
      </c>
      <c r="I219" s="307">
        <v>0.68095133999317758</v>
      </c>
      <c r="J219" s="307">
        <v>1.6275582961776514</v>
      </c>
      <c r="K219" s="339">
        <v>15000</v>
      </c>
      <c r="L219" s="339">
        <v>16624.320040487772</v>
      </c>
      <c r="M219" s="339">
        <v>0</v>
      </c>
      <c r="N219" s="339">
        <v>0</v>
      </c>
      <c r="O219" s="339">
        <v>0.2</v>
      </c>
      <c r="P219" s="339">
        <v>3324.8640080975547</v>
      </c>
      <c r="Q219" s="339">
        <v>0</v>
      </c>
      <c r="R219" s="339">
        <v>0</v>
      </c>
    </row>
    <row r="220" spans="3:18" hidden="1" outlineLevel="1" x14ac:dyDescent="0.3">
      <c r="C220" s="307">
        <v>2037</v>
      </c>
      <c r="D220" s="307">
        <v>53</v>
      </c>
      <c r="E220" s="307">
        <v>18</v>
      </c>
      <c r="F220" s="307">
        <v>0</v>
      </c>
      <c r="G220" s="307">
        <v>0</v>
      </c>
      <c r="H220" s="307">
        <v>0.51754064478090767</v>
      </c>
      <c r="I220" s="307">
        <v>0.70137988019297293</v>
      </c>
      <c r="J220" s="307">
        <v>1.6763850450629809</v>
      </c>
      <c r="K220" s="339">
        <v>15000</v>
      </c>
      <c r="L220" s="339">
        <v>17636.741130953476</v>
      </c>
      <c r="M220" s="339">
        <v>0</v>
      </c>
      <c r="N220" s="339">
        <v>0</v>
      </c>
      <c r="O220" s="339">
        <v>0.2</v>
      </c>
      <c r="P220" s="339">
        <v>3527.3482261906956</v>
      </c>
      <c r="Q220" s="339">
        <v>0</v>
      </c>
      <c r="R220" s="339">
        <v>0</v>
      </c>
    </row>
    <row r="221" spans="3:18" hidden="1" outlineLevel="1" x14ac:dyDescent="0.3">
      <c r="C221" s="307">
        <v>2038</v>
      </c>
      <c r="D221" s="307">
        <v>54</v>
      </c>
      <c r="E221" s="307">
        <v>19</v>
      </c>
      <c r="F221" s="307">
        <v>0</v>
      </c>
      <c r="G221" s="307">
        <v>0</v>
      </c>
      <c r="H221" s="307">
        <v>0.49289585217229298</v>
      </c>
      <c r="I221" s="307">
        <v>0.7224212765987621</v>
      </c>
      <c r="J221" s="307">
        <v>1.7266765964148705</v>
      </c>
      <c r="K221" s="339">
        <v>15000</v>
      </c>
      <c r="L221" s="339">
        <v>18710.818665828545</v>
      </c>
      <c r="M221" s="339">
        <v>0</v>
      </c>
      <c r="N221" s="339">
        <v>0</v>
      </c>
      <c r="O221" s="339">
        <v>0.2</v>
      </c>
      <c r="P221" s="339">
        <v>3742.1637331657093</v>
      </c>
      <c r="Q221" s="339">
        <v>0</v>
      </c>
      <c r="R221" s="339">
        <v>0</v>
      </c>
    </row>
    <row r="222" spans="3:18" hidden="1" outlineLevel="1" x14ac:dyDescent="0.3">
      <c r="C222" s="307">
        <v>2039</v>
      </c>
      <c r="D222" s="307">
        <v>55</v>
      </c>
      <c r="E222" s="307">
        <v>20</v>
      </c>
      <c r="F222" s="307">
        <v>1</v>
      </c>
      <c r="G222" s="307">
        <v>8.3657758364132084E-2</v>
      </c>
      <c r="H222" s="307">
        <v>0.46942462111646949</v>
      </c>
      <c r="I222" s="307">
        <v>0.74409391489672494</v>
      </c>
      <c r="J222" s="307">
        <v>1.7784768943073166</v>
      </c>
      <c r="K222" s="339">
        <v>15000</v>
      </c>
      <c r="L222" s="339">
        <v>19850.307522577499</v>
      </c>
      <c r="M222" s="339">
        <v>1660.6322301775019</v>
      </c>
      <c r="N222" s="339">
        <v>779.54165546487161</v>
      </c>
      <c r="O222" s="339">
        <v>0.2</v>
      </c>
      <c r="P222" s="339">
        <v>3970.0615045155</v>
      </c>
      <c r="Q222" s="339">
        <v>332.12644603550035</v>
      </c>
      <c r="R222" s="339">
        <v>155.90833109297429</v>
      </c>
    </row>
    <row r="223" spans="3:18" hidden="1" outlineLevel="1" x14ac:dyDescent="0.3">
      <c r="C223" s="307">
        <v>2040</v>
      </c>
      <c r="D223" s="307">
        <v>56</v>
      </c>
      <c r="E223" s="307">
        <v>21</v>
      </c>
      <c r="F223" s="307">
        <v>1</v>
      </c>
      <c r="G223" s="307">
        <v>8.3436081009928664E-2</v>
      </c>
      <c r="H223" s="307">
        <v>0.44707106772997091</v>
      </c>
      <c r="I223" s="307">
        <v>0.76641673234362673</v>
      </c>
      <c r="J223" s="307">
        <v>1.8318312011365361</v>
      </c>
      <c r="K223" s="339">
        <v>15000</v>
      </c>
      <c r="L223" s="339">
        <v>21059.191250702472</v>
      </c>
      <c r="M223" s="339">
        <v>1757.0963871971924</v>
      </c>
      <c r="N223" s="339">
        <v>785.54695792872315</v>
      </c>
      <c r="O223" s="339">
        <v>0.2</v>
      </c>
      <c r="P223" s="339">
        <v>4211.8382501404949</v>
      </c>
      <c r="Q223" s="339">
        <v>351.41927743943853</v>
      </c>
      <c r="R223" s="339">
        <v>157.10939158574465</v>
      </c>
    </row>
    <row r="224" spans="3:18" hidden="1" outlineLevel="1" x14ac:dyDescent="0.3">
      <c r="C224" s="307">
        <v>2041</v>
      </c>
      <c r="D224" s="307">
        <v>57</v>
      </c>
      <c r="E224" s="307">
        <v>22</v>
      </c>
      <c r="F224" s="307">
        <v>1</v>
      </c>
      <c r="G224" s="307">
        <v>8.3189962117090982E-2</v>
      </c>
      <c r="H224" s="307">
        <v>0.42578196926663892</v>
      </c>
      <c r="I224" s="307">
        <v>0.7894092343139355</v>
      </c>
      <c r="J224" s="307">
        <v>1.8867861371706323</v>
      </c>
      <c r="K224" s="339">
        <v>15000</v>
      </c>
      <c r="L224" s="339">
        <v>22341.695997870254</v>
      </c>
      <c r="M224" s="339">
        <v>1858.6048436943897</v>
      </c>
      <c r="N224" s="339">
        <v>791.36043043671089</v>
      </c>
      <c r="O224" s="339">
        <v>0.2</v>
      </c>
      <c r="P224" s="339">
        <v>4468.3391995740512</v>
      </c>
      <c r="Q224" s="339">
        <v>371.72096873887796</v>
      </c>
      <c r="R224" s="339">
        <v>158.27208608734219</v>
      </c>
    </row>
    <row r="225" spans="3:18" hidden="1" outlineLevel="1" x14ac:dyDescent="0.3">
      <c r="C225" s="307">
        <v>2042</v>
      </c>
      <c r="D225" s="307">
        <v>58</v>
      </c>
      <c r="E225" s="307">
        <v>23</v>
      </c>
      <c r="F225" s="307">
        <v>1</v>
      </c>
      <c r="G225" s="307">
        <v>8.291961411190274E-2</v>
      </c>
      <c r="H225" s="307">
        <v>0.40550663739679893</v>
      </c>
      <c r="I225" s="307">
        <v>0.81309151134335356</v>
      </c>
      <c r="J225" s="307">
        <v>1.9433897212857514</v>
      </c>
      <c r="K225" s="339">
        <v>15000</v>
      </c>
      <c r="L225" s="339">
        <v>23702.305284140555</v>
      </c>
      <c r="M225" s="339">
        <v>1965.3860077234481</v>
      </c>
      <c r="N225" s="339">
        <v>796.97707117865457</v>
      </c>
      <c r="O225" s="339">
        <v>0.2</v>
      </c>
      <c r="P225" s="339">
        <v>4740.4610568281114</v>
      </c>
      <c r="Q225" s="339">
        <v>393.07720154468961</v>
      </c>
      <c r="R225" s="339">
        <v>159.3954142357309</v>
      </c>
    </row>
    <row r="226" spans="3:18" hidden="1" outlineLevel="1" x14ac:dyDescent="0.3">
      <c r="C226" s="307">
        <v>2043</v>
      </c>
      <c r="D226" s="307">
        <v>59</v>
      </c>
      <c r="E226" s="307">
        <v>24</v>
      </c>
      <c r="F226" s="307">
        <v>1</v>
      </c>
      <c r="G226" s="307">
        <v>8.2621131741777848E-2</v>
      </c>
      <c r="H226" s="307">
        <v>0.38619679752076086</v>
      </c>
      <c r="I226" s="307">
        <v>0.83748425668365423</v>
      </c>
      <c r="J226" s="307">
        <v>2.0016914129243242</v>
      </c>
      <c r="K226" s="339">
        <v>15000</v>
      </c>
      <c r="L226" s="339">
        <v>25145.775675944718</v>
      </c>
      <c r="M226" s="339">
        <v>2077.5724448714213</v>
      </c>
      <c r="N226" s="339">
        <v>802.35182482672042</v>
      </c>
      <c r="O226" s="339">
        <v>0.2</v>
      </c>
      <c r="P226" s="339">
        <v>5029.1551351889439</v>
      </c>
      <c r="Q226" s="339">
        <v>415.51448897428429</v>
      </c>
      <c r="R226" s="339">
        <v>160.47036496534409</v>
      </c>
    </row>
    <row r="227" spans="3:18" hidden="1" outlineLevel="1" x14ac:dyDescent="0.3">
      <c r="C227" s="307">
        <v>2044</v>
      </c>
      <c r="D227" s="307">
        <v>60</v>
      </c>
      <c r="E227" s="307">
        <v>25</v>
      </c>
      <c r="F227" s="307">
        <v>1</v>
      </c>
      <c r="G227" s="307">
        <v>8.2290678670606812E-2</v>
      </c>
      <c r="H227" s="307">
        <v>0.36780647382929604</v>
      </c>
      <c r="I227" s="307">
        <v>0.86260878438416388</v>
      </c>
      <c r="J227" s="307">
        <v>2.0617421553120541</v>
      </c>
      <c r="K227" s="339">
        <v>15000</v>
      </c>
      <c r="L227" s="339">
        <v>26677.153414609755</v>
      </c>
      <c r="M227" s="339">
        <v>2195.2810594881325</v>
      </c>
      <c r="N227" s="339">
        <v>807.43858555457109</v>
      </c>
      <c r="O227" s="339">
        <v>0.2</v>
      </c>
      <c r="P227" s="339">
        <v>5335.4306829219513</v>
      </c>
      <c r="Q227" s="339">
        <v>439.05621189762655</v>
      </c>
      <c r="R227" s="339">
        <v>161.48771711091425</v>
      </c>
    </row>
    <row r="228" spans="3:18" hidden="1" outlineLevel="1" x14ac:dyDescent="0.3">
      <c r="C228" s="307">
        <v>2045</v>
      </c>
      <c r="D228" s="307">
        <v>61</v>
      </c>
      <c r="E228" s="307">
        <v>26</v>
      </c>
      <c r="F228" s="307">
        <v>1</v>
      </c>
      <c r="G228" s="307">
        <v>8.1924528444045311E-2</v>
      </c>
      <c r="H228" s="307">
        <v>0.35029187983742477</v>
      </c>
      <c r="I228" s="307">
        <v>0.88848704791568878</v>
      </c>
      <c r="J228" s="307">
        <v>2.1235944199714156</v>
      </c>
      <c r="K228" s="339">
        <v>15000</v>
      </c>
      <c r="L228" s="339">
        <v>28301.792057559487</v>
      </c>
      <c r="M228" s="339">
        <v>2318.6109684369881</v>
      </c>
      <c r="N228" s="339">
        <v>812.19059474546452</v>
      </c>
      <c r="O228" s="339">
        <v>0.2</v>
      </c>
      <c r="P228" s="339">
        <v>5660.3584115118974</v>
      </c>
      <c r="Q228" s="339">
        <v>463.72219368739758</v>
      </c>
      <c r="R228" s="339">
        <v>162.43811894909288</v>
      </c>
    </row>
    <row r="229" spans="3:18" hidden="1" outlineLevel="1" x14ac:dyDescent="0.3">
      <c r="C229" s="307">
        <v>2046</v>
      </c>
      <c r="D229" s="307">
        <v>62</v>
      </c>
      <c r="E229" s="307">
        <v>27</v>
      </c>
      <c r="F229" s="307">
        <v>1</v>
      </c>
      <c r="G229" s="307">
        <v>0.30155919348843885</v>
      </c>
      <c r="H229" s="307">
        <v>0.33361131413088074</v>
      </c>
      <c r="I229" s="307">
        <v>0.9151416593531595</v>
      </c>
      <c r="J229" s="307">
        <v>2.1873022525705581</v>
      </c>
      <c r="K229" s="339">
        <v>15000</v>
      </c>
      <c r="L229" s="339">
        <v>30025.371193864863</v>
      </c>
      <c r="M229" s="339">
        <v>9054.4267214128922</v>
      </c>
      <c r="N229" s="339">
        <v>3020.6591972323172</v>
      </c>
      <c r="O229" s="339">
        <v>0.2</v>
      </c>
      <c r="P229" s="339">
        <v>6005.0742387729733</v>
      </c>
      <c r="Q229" s="339">
        <v>1810.8853442825787</v>
      </c>
      <c r="R229" s="339">
        <v>604.13183944646346</v>
      </c>
    </row>
    <row r="230" spans="3:18" hidden="1" outlineLevel="1" x14ac:dyDescent="0.3">
      <c r="C230" s="307">
        <v>2047</v>
      </c>
      <c r="D230" s="307">
        <v>63</v>
      </c>
      <c r="E230" s="307">
        <v>28</v>
      </c>
      <c r="F230" s="307">
        <v>1</v>
      </c>
      <c r="G230" s="307">
        <v>0.45273876053242179</v>
      </c>
      <c r="H230" s="307">
        <v>0.31772506107702925</v>
      </c>
      <c r="I230" s="307">
        <v>0.94259590913375435</v>
      </c>
      <c r="J230" s="307">
        <v>2.2529213201476748</v>
      </c>
      <c r="K230" s="339">
        <v>15000</v>
      </c>
      <c r="L230" s="339">
        <v>31853.916299571232</v>
      </c>
      <c r="M230" s="339">
        <v>14421.502583571388</v>
      </c>
      <c r="N230" s="339">
        <v>4582.0727891877541</v>
      </c>
      <c r="O230" s="339">
        <v>0.2</v>
      </c>
      <c r="P230" s="339">
        <v>6370.7832599142466</v>
      </c>
      <c r="Q230" s="339">
        <v>2884.3005167142774</v>
      </c>
      <c r="R230" s="339">
        <v>916.41455783755077</v>
      </c>
    </row>
    <row r="231" spans="3:18" hidden="1" outlineLevel="1" x14ac:dyDescent="0.3">
      <c r="C231" s="307">
        <v>2048</v>
      </c>
      <c r="D231" s="307">
        <v>64</v>
      </c>
      <c r="E231" s="307">
        <v>29</v>
      </c>
      <c r="F231" s="307">
        <v>1</v>
      </c>
      <c r="G231" s="307">
        <v>0.52068955064672595</v>
      </c>
      <c r="H231" s="307">
        <v>0.30259529626383735</v>
      </c>
      <c r="I231" s="307">
        <v>0.970873786407767</v>
      </c>
      <c r="J231" s="307">
        <v>2.3205089597521051</v>
      </c>
      <c r="K231" s="339">
        <v>15000</v>
      </c>
      <c r="L231" s="339">
        <v>33793.819802215119</v>
      </c>
      <c r="M231" s="339">
        <v>17596.088847451818</v>
      </c>
      <c r="N231" s="339">
        <v>5324.4937178794871</v>
      </c>
      <c r="O231" s="339">
        <v>0.2</v>
      </c>
      <c r="P231" s="339">
        <v>6758.7639604430242</v>
      </c>
      <c r="Q231" s="339">
        <v>3519.2177694903639</v>
      </c>
      <c r="R231" s="339">
        <v>1064.8987435758975</v>
      </c>
    </row>
    <row r="232" spans="3:18" hidden="1" outlineLevel="1" x14ac:dyDescent="0.3">
      <c r="C232" s="307">
        <v>2049</v>
      </c>
      <c r="D232" s="307">
        <v>65</v>
      </c>
      <c r="E232" s="307">
        <v>30</v>
      </c>
      <c r="F232" s="307">
        <v>1</v>
      </c>
      <c r="G232" s="307">
        <v>0.79766257984514588</v>
      </c>
      <c r="H232" s="307">
        <v>0.28818599644174986</v>
      </c>
      <c r="I232" s="307">
        <v>1</v>
      </c>
      <c r="J232" s="307">
        <v>2.3901242285446682</v>
      </c>
      <c r="K232" s="339">
        <v>2100</v>
      </c>
      <c r="L232" s="339">
        <v>5019.260879943803</v>
      </c>
      <c r="M232" s="339">
        <v>4003.6765824117911</v>
      </c>
      <c r="N232" s="339">
        <v>1153.8035253328417</v>
      </c>
      <c r="O232" s="339">
        <v>0.2</v>
      </c>
      <c r="P232" s="339">
        <v>1003.8521759887607</v>
      </c>
      <c r="Q232" s="339">
        <v>800.73531648235826</v>
      </c>
      <c r="R232" s="339">
        <v>230.76070506656833</v>
      </c>
    </row>
    <row r="233" spans="3:18" hidden="1" outlineLevel="1" x14ac:dyDescent="0.3">
      <c r="C233" s="307">
        <v>2050</v>
      </c>
      <c r="D233" s="307">
        <v>66</v>
      </c>
      <c r="E233" s="307">
        <v>31</v>
      </c>
      <c r="F233" s="307">
        <v>1</v>
      </c>
      <c r="G233" s="307">
        <v>0.79172098825197978</v>
      </c>
      <c r="H233" s="307">
        <v>0.2744628537540475</v>
      </c>
      <c r="I233" s="307">
        <v>1.0249999999999999</v>
      </c>
      <c r="J233" s="307">
        <v>2.4618279554010085</v>
      </c>
      <c r="K233" s="339">
        <v>2100</v>
      </c>
      <c r="L233" s="339">
        <v>5299.08467400067</v>
      </c>
      <c r="M233" s="339">
        <v>4195.3965549307304</v>
      </c>
      <c r="N233" s="339">
        <v>1151.4805110961877</v>
      </c>
      <c r="O233" s="339">
        <v>0.2</v>
      </c>
      <c r="P233" s="339">
        <v>1059.816934800134</v>
      </c>
      <c r="Q233" s="339">
        <v>839.0793109861462</v>
      </c>
      <c r="R233" s="339">
        <v>230.29610221923758</v>
      </c>
    </row>
    <row r="234" spans="3:18" hidden="1" outlineLevel="1" x14ac:dyDescent="0.3">
      <c r="C234" s="307">
        <v>2051</v>
      </c>
      <c r="D234" s="307">
        <v>67</v>
      </c>
      <c r="E234" s="307">
        <v>32</v>
      </c>
      <c r="F234" s="307">
        <v>1</v>
      </c>
      <c r="G234" s="307">
        <v>0.78519068500938616</v>
      </c>
      <c r="H234" s="307">
        <v>0.26139319405147382</v>
      </c>
      <c r="I234" s="307">
        <v>1.0506249999999999</v>
      </c>
      <c r="J234" s="307">
        <v>2.5356827940630389</v>
      </c>
      <c r="K234" s="339">
        <v>2100</v>
      </c>
      <c r="L234" s="339">
        <v>5594.5086445762081</v>
      </c>
      <c r="M234" s="339">
        <v>4392.7560749257254</v>
      </c>
      <c r="N234" s="339">
        <v>1148.2365411138505</v>
      </c>
      <c r="O234" s="339">
        <v>0.2</v>
      </c>
      <c r="P234" s="339">
        <v>1118.9017289152416</v>
      </c>
      <c r="Q234" s="339">
        <v>878.55121498514507</v>
      </c>
      <c r="R234" s="339">
        <v>229.64730822277011</v>
      </c>
    </row>
    <row r="235" spans="3:18" hidden="1" outlineLevel="1" x14ac:dyDescent="0.3">
      <c r="C235" s="307">
        <v>2052</v>
      </c>
      <c r="D235" s="307">
        <v>68</v>
      </c>
      <c r="E235" s="307">
        <v>33</v>
      </c>
      <c r="F235" s="307">
        <v>1</v>
      </c>
      <c r="G235" s="307">
        <v>0.77796864595838189</v>
      </c>
      <c r="H235" s="307">
        <v>0.24894589909664172</v>
      </c>
      <c r="I235" s="307">
        <v>1.0768906249999999</v>
      </c>
      <c r="J235" s="307">
        <v>2.6117532778849299</v>
      </c>
      <c r="K235" s="339">
        <v>2100</v>
      </c>
      <c r="L235" s="339">
        <v>5906.4025015113311</v>
      </c>
      <c r="M235" s="339">
        <v>4594.9959565859699</v>
      </c>
      <c r="N235" s="339">
        <v>1143.9053997577275</v>
      </c>
      <c r="O235" s="339">
        <v>0.2</v>
      </c>
      <c r="P235" s="339">
        <v>1181.2805003022663</v>
      </c>
      <c r="Q235" s="339">
        <v>918.999191317194</v>
      </c>
      <c r="R235" s="339">
        <v>228.78107995154551</v>
      </c>
    </row>
    <row r="236" spans="3:18" hidden="1" outlineLevel="1" x14ac:dyDescent="0.3">
      <c r="C236" s="307">
        <v>2053</v>
      </c>
      <c r="D236" s="307">
        <v>69</v>
      </c>
      <c r="E236" s="307">
        <v>34</v>
      </c>
      <c r="F236" s="307">
        <v>1</v>
      </c>
      <c r="G236" s="307">
        <v>0.76995784382714261</v>
      </c>
      <c r="H236" s="307">
        <v>0.23709133247299211</v>
      </c>
      <c r="I236" s="307">
        <v>1.1038128906249998</v>
      </c>
      <c r="J236" s="307">
        <v>2.690105876221478</v>
      </c>
      <c r="K236" s="339">
        <v>2100</v>
      </c>
      <c r="L236" s="339">
        <v>6235.6844409705873</v>
      </c>
      <c r="M236" s="339">
        <v>4801.2141469561748</v>
      </c>
      <c r="N236" s="339">
        <v>1138.3262595900196</v>
      </c>
      <c r="O236" s="339">
        <v>0.2</v>
      </c>
      <c r="P236" s="339">
        <v>1247.1368881941175</v>
      </c>
      <c r="Q236" s="339">
        <v>960.24282939123498</v>
      </c>
      <c r="R236" s="339">
        <v>227.66525191800392</v>
      </c>
    </row>
    <row r="237" spans="3:18" hidden="1" outlineLevel="1" x14ac:dyDescent="0.3">
      <c r="C237" s="307">
        <v>2054</v>
      </c>
      <c r="D237" s="307">
        <v>70</v>
      </c>
      <c r="E237" s="307">
        <v>35</v>
      </c>
      <c r="F237" s="307">
        <v>1</v>
      </c>
      <c r="G237" s="307">
        <v>0.76099099939548975</v>
      </c>
      <c r="H237" s="307">
        <v>0.22580126902189723</v>
      </c>
      <c r="I237" s="307">
        <v>1.1314082128906247</v>
      </c>
      <c r="J237" s="307">
        <v>2.7708090525081226</v>
      </c>
      <c r="K237" s="339">
        <v>2100</v>
      </c>
      <c r="L237" s="339">
        <v>6583.3238485546972</v>
      </c>
      <c r="M237" s="339">
        <v>5009.8501948558005</v>
      </c>
      <c r="N237" s="339">
        <v>1131.230531608039</v>
      </c>
      <c r="O237" s="339">
        <v>0.2</v>
      </c>
      <c r="P237" s="339">
        <v>1316.6647697109395</v>
      </c>
      <c r="Q237" s="339">
        <v>1001.9700389711602</v>
      </c>
      <c r="R237" s="339">
        <v>226.24610632160778</v>
      </c>
    </row>
    <row r="238" spans="3:18" hidden="1" outlineLevel="1" x14ac:dyDescent="0.3">
      <c r="C238" s="307">
        <v>2055</v>
      </c>
      <c r="D238" s="307">
        <v>71</v>
      </c>
      <c r="E238" s="307">
        <v>36</v>
      </c>
      <c r="F238" s="307">
        <v>1</v>
      </c>
      <c r="G238" s="307">
        <v>0.75091190409580877</v>
      </c>
      <c r="H238" s="307">
        <v>0.21504882763990213</v>
      </c>
      <c r="I238" s="307">
        <v>1.1540363771484372</v>
      </c>
      <c r="J238" s="307">
        <v>2.8539333240833664</v>
      </c>
      <c r="K238" s="339">
        <v>2100</v>
      </c>
      <c r="L238" s="339">
        <v>6916.4400352915663</v>
      </c>
      <c r="M238" s="339">
        <v>5193.6371564652727</v>
      </c>
      <c r="N238" s="339">
        <v>1116.8855816848918</v>
      </c>
      <c r="O238" s="339">
        <v>0.2</v>
      </c>
      <c r="P238" s="339">
        <v>1383.2880070583133</v>
      </c>
      <c r="Q238" s="339">
        <v>1038.7274312930547</v>
      </c>
      <c r="R238" s="339">
        <v>223.37711633697839</v>
      </c>
    </row>
    <row r="239" spans="3:18" hidden="1" outlineLevel="1" x14ac:dyDescent="0.3">
      <c r="C239" s="307">
        <v>2056</v>
      </c>
      <c r="D239" s="307">
        <v>72</v>
      </c>
      <c r="E239" s="307">
        <v>37</v>
      </c>
      <c r="F239" s="307">
        <v>1</v>
      </c>
      <c r="G239" s="307">
        <v>0.73954118684067538</v>
      </c>
      <c r="H239" s="307">
        <v>0.20480840727609725</v>
      </c>
      <c r="I239" s="307">
        <v>1.177117104691406</v>
      </c>
      <c r="J239" s="307">
        <v>2.9395513238058677</v>
      </c>
      <c r="K239" s="339">
        <v>2100</v>
      </c>
      <c r="L239" s="339">
        <v>7266.4119010773202</v>
      </c>
      <c r="M239" s="339">
        <v>5373.8108813959298</v>
      </c>
      <c r="N239" s="339">
        <v>1100.6016476216607</v>
      </c>
      <c r="O239" s="339">
        <v>0.2</v>
      </c>
      <c r="P239" s="339">
        <v>1453.2823802154642</v>
      </c>
      <c r="Q239" s="339">
        <v>1074.762176279186</v>
      </c>
      <c r="R239" s="339">
        <v>220.12032952433213</v>
      </c>
    </row>
    <row r="240" spans="3:18" hidden="1" outlineLevel="1" x14ac:dyDescent="0.3">
      <c r="C240" s="307">
        <v>2057</v>
      </c>
      <c r="D240" s="307">
        <v>73</v>
      </c>
      <c r="E240" s="307">
        <v>38</v>
      </c>
      <c r="F240" s="307">
        <v>1</v>
      </c>
      <c r="G240" s="307">
        <v>0.72671709233030368</v>
      </c>
      <c r="H240" s="307">
        <v>0.19505562597723547</v>
      </c>
      <c r="I240" s="307">
        <v>1.2006594467852341</v>
      </c>
      <c r="J240" s="307">
        <v>3.0277378635200436</v>
      </c>
      <c r="K240" s="339">
        <v>2100</v>
      </c>
      <c r="L240" s="339">
        <v>7634.0923432718319</v>
      </c>
      <c r="M240" s="339">
        <v>5547.8253902835404</v>
      </c>
      <c r="N240" s="339">
        <v>1082.1345543141567</v>
      </c>
      <c r="O240" s="339">
        <v>0.2</v>
      </c>
      <c r="P240" s="339">
        <v>1526.8184686543664</v>
      </c>
      <c r="Q240" s="339">
        <v>1109.565078056708</v>
      </c>
      <c r="R240" s="339">
        <v>216.42691086283131</v>
      </c>
    </row>
    <row r="241" spans="3:18" hidden="1" outlineLevel="1" x14ac:dyDescent="0.3">
      <c r="C241" s="307">
        <v>2058</v>
      </c>
      <c r="D241" s="307">
        <v>74</v>
      </c>
      <c r="E241" s="307">
        <v>39</v>
      </c>
      <c r="F241" s="307">
        <v>1</v>
      </c>
      <c r="G241" s="307">
        <v>0.71233691426354162</v>
      </c>
      <c r="H241" s="307">
        <v>0.18576726283546235</v>
      </c>
      <c r="I241" s="307">
        <v>1.2246726357209388</v>
      </c>
      <c r="J241" s="307">
        <v>3.1185699994256448</v>
      </c>
      <c r="K241" s="339">
        <v>2100</v>
      </c>
      <c r="L241" s="339">
        <v>8020.3774158413862</v>
      </c>
      <c r="M241" s="339">
        <v>5713.210899629451</v>
      </c>
      <c r="N241" s="339">
        <v>1061.3275508258926</v>
      </c>
      <c r="O241" s="339">
        <v>0.2</v>
      </c>
      <c r="P241" s="339">
        <v>1604.0754831682773</v>
      </c>
      <c r="Q241" s="339">
        <v>1142.6421799258903</v>
      </c>
      <c r="R241" s="339">
        <v>212.26551016517854</v>
      </c>
    </row>
    <row r="242" spans="3:18" hidden="1" outlineLevel="1" x14ac:dyDescent="0.3">
      <c r="C242" s="307">
        <v>2059</v>
      </c>
      <c r="D242" s="307">
        <v>75</v>
      </c>
      <c r="E242" s="307">
        <v>40</v>
      </c>
      <c r="F242" s="307">
        <v>1</v>
      </c>
      <c r="G242" s="307">
        <v>0.69628473000971236</v>
      </c>
      <c r="H242" s="307">
        <v>0.17692120270044032</v>
      </c>
      <c r="I242" s="307">
        <v>1.2491660884353575</v>
      </c>
      <c r="J242" s="307">
        <v>3.2121270994084141</v>
      </c>
      <c r="K242" s="339">
        <v>2100</v>
      </c>
      <c r="L242" s="339">
        <v>8426.2085130829601</v>
      </c>
      <c r="M242" s="339">
        <v>5867.0403195375084</v>
      </c>
      <c r="N242" s="339">
        <v>1038.0038296245516</v>
      </c>
      <c r="O242" s="339">
        <v>0.2</v>
      </c>
      <c r="P242" s="339">
        <v>1685.2417026165922</v>
      </c>
      <c r="Q242" s="339">
        <v>1173.4080639075019</v>
      </c>
      <c r="R242" s="339">
        <v>207.60076592491035</v>
      </c>
    </row>
    <row r="243" spans="3:18" hidden="1" outlineLevel="1" x14ac:dyDescent="0.3">
      <c r="C243" s="307">
        <v>2060</v>
      </c>
      <c r="D243" s="307">
        <v>76</v>
      </c>
      <c r="E243" s="307">
        <v>41</v>
      </c>
      <c r="F243" s="307">
        <v>1</v>
      </c>
      <c r="G243" s="307">
        <v>0.67847337196075141</v>
      </c>
      <c r="H243" s="307">
        <v>0.16849638352422885</v>
      </c>
      <c r="I243" s="307">
        <v>1.2679035797618876</v>
      </c>
      <c r="J243" s="307">
        <v>3.3084909123906665</v>
      </c>
      <c r="K243" s="339">
        <v>2100</v>
      </c>
      <c r="L243" s="339">
        <v>8809.1796900025802</v>
      </c>
      <c r="M243" s="339">
        <v>5976.7938484842171</v>
      </c>
      <c r="N243" s="339">
        <v>1007.0681485394484</v>
      </c>
      <c r="O243" s="339">
        <v>0.2</v>
      </c>
      <c r="P243" s="339">
        <v>1761.8359380005161</v>
      </c>
      <c r="Q243" s="339">
        <v>1195.3587696968434</v>
      </c>
      <c r="R243" s="339">
        <v>201.41362970788967</v>
      </c>
    </row>
    <row r="244" spans="3:18" hidden="1" outlineLevel="1" x14ac:dyDescent="0.3">
      <c r="C244" s="307">
        <v>2061</v>
      </c>
      <c r="D244" s="307">
        <v>77</v>
      </c>
      <c r="E244" s="307">
        <v>42</v>
      </c>
      <c r="F244" s="307">
        <v>1</v>
      </c>
      <c r="G244" s="307">
        <v>0.65884793814485254</v>
      </c>
      <c r="H244" s="307">
        <v>0.16047274621355129</v>
      </c>
      <c r="I244" s="307">
        <v>1.2869221334583159</v>
      </c>
      <c r="J244" s="307">
        <v>3.4077456397623864</v>
      </c>
      <c r="K244" s="339">
        <v>2100</v>
      </c>
      <c r="L244" s="339">
        <v>9209.5569069131961</v>
      </c>
      <c r="M244" s="339">
        <v>6067.6975793474448</v>
      </c>
      <c r="N244" s="339">
        <v>973.70009375120196</v>
      </c>
      <c r="O244" s="339">
        <v>0.2</v>
      </c>
      <c r="P244" s="339">
        <v>1841.9113813826393</v>
      </c>
      <c r="Q244" s="339">
        <v>1213.5395158694892</v>
      </c>
      <c r="R244" s="339">
        <v>194.74001875024044</v>
      </c>
    </row>
    <row r="245" spans="3:18" hidden="1" outlineLevel="1" x14ac:dyDescent="0.3">
      <c r="C245" s="307">
        <v>2062</v>
      </c>
      <c r="D245" s="307">
        <v>78</v>
      </c>
      <c r="E245" s="307">
        <v>43</v>
      </c>
      <c r="F245" s="307">
        <v>1</v>
      </c>
      <c r="G245" s="307">
        <v>0.63738901021444172</v>
      </c>
      <c r="H245" s="307">
        <v>0.15283118687004885</v>
      </c>
      <c r="I245" s="307">
        <v>1.3062259654601904</v>
      </c>
      <c r="J245" s="307">
        <v>3.5099780089552581</v>
      </c>
      <c r="K245" s="339">
        <v>2100</v>
      </c>
      <c r="L245" s="339">
        <v>9628.1312683323995</v>
      </c>
      <c r="M245" s="339">
        <v>6136.8650593371058</v>
      </c>
      <c r="N245" s="339">
        <v>937.90437067982259</v>
      </c>
      <c r="O245" s="339">
        <v>0.2</v>
      </c>
      <c r="P245" s="339">
        <v>1925.6262536664799</v>
      </c>
      <c r="Q245" s="339">
        <v>1227.3730118674212</v>
      </c>
      <c r="R245" s="339">
        <v>187.58087413596454</v>
      </c>
    </row>
    <row r="246" spans="3:18" hidden="1" outlineLevel="1" x14ac:dyDescent="0.3">
      <c r="C246" s="307">
        <v>2063</v>
      </c>
      <c r="D246" s="307">
        <v>79</v>
      </c>
      <c r="E246" s="307">
        <v>44</v>
      </c>
      <c r="F246" s="307">
        <v>1</v>
      </c>
      <c r="G246" s="307">
        <v>0.61414668724683197</v>
      </c>
      <c r="H246" s="307">
        <v>0.14555351130480843</v>
      </c>
      <c r="I246" s="307">
        <v>1.3258193549420931</v>
      </c>
      <c r="J246" s="307">
        <v>3.6152773492239159</v>
      </c>
      <c r="K246" s="339">
        <v>2100</v>
      </c>
      <c r="L246" s="339">
        <v>10065.729834478107</v>
      </c>
      <c r="M246" s="339">
        <v>6181.8346325663315</v>
      </c>
      <c r="N246" s="339">
        <v>899.78773707569974</v>
      </c>
      <c r="O246" s="339">
        <v>0.2</v>
      </c>
      <c r="P246" s="339">
        <v>2013.1459668956213</v>
      </c>
      <c r="Q246" s="339">
        <v>1236.3669265132662</v>
      </c>
      <c r="R246" s="339">
        <v>179.95754741513994</v>
      </c>
    </row>
    <row r="247" spans="3:18" hidden="1" outlineLevel="1" x14ac:dyDescent="0.3">
      <c r="C247" s="307">
        <v>2064</v>
      </c>
      <c r="D247" s="307">
        <v>80</v>
      </c>
      <c r="E247" s="307">
        <v>45</v>
      </c>
      <c r="F247" s="307">
        <v>1</v>
      </c>
      <c r="G247" s="307">
        <v>0.58917743669067546</v>
      </c>
      <c r="H247" s="307">
        <v>0.13862239171886517</v>
      </c>
      <c r="I247" s="307">
        <v>1.3457066452662243</v>
      </c>
      <c r="J247" s="307">
        <v>3.7237356697006336</v>
      </c>
      <c r="K247" s="339">
        <v>2100</v>
      </c>
      <c r="L247" s="339">
        <v>10523.217255455134</v>
      </c>
      <c r="M247" s="339">
        <v>6200.0421683081413</v>
      </c>
      <c r="N247" s="339">
        <v>859.46467412869333</v>
      </c>
      <c r="O247" s="339">
        <v>0.2</v>
      </c>
      <c r="P247" s="339">
        <v>2104.6434510910271</v>
      </c>
      <c r="Q247" s="339">
        <v>1240.0084336616283</v>
      </c>
      <c r="R247" s="339">
        <v>171.89293482573868</v>
      </c>
    </row>
    <row r="248" spans="3:18" hidden="1" outlineLevel="1" x14ac:dyDescent="0.3">
      <c r="C248" s="307">
        <v>2065</v>
      </c>
      <c r="D248" s="307">
        <v>81</v>
      </c>
      <c r="E248" s="307">
        <v>46</v>
      </c>
      <c r="F248" s="307">
        <v>1</v>
      </c>
      <c r="G248" s="307">
        <v>0.5625186945210614</v>
      </c>
      <c r="H248" s="307">
        <v>0.13202132544653825</v>
      </c>
      <c r="I248" s="307">
        <v>1.3591637117188866</v>
      </c>
      <c r="J248" s="307">
        <v>3.8354477397916527</v>
      </c>
      <c r="K248" s="339">
        <v>2100</v>
      </c>
      <c r="L248" s="339">
        <v>10947.302910849978</v>
      </c>
      <c r="M248" s="339">
        <v>6158.0625419379448</v>
      </c>
      <c r="N248" s="339">
        <v>812.99557896932595</v>
      </c>
      <c r="O248" s="339">
        <v>0.2</v>
      </c>
      <c r="P248" s="339">
        <v>2189.4605821699956</v>
      </c>
      <c r="Q248" s="339">
        <v>1231.6125083875891</v>
      </c>
      <c r="R248" s="339">
        <v>162.59911579386522</v>
      </c>
    </row>
    <row r="249" spans="3:18" hidden="1" outlineLevel="1" x14ac:dyDescent="0.3">
      <c r="C249" s="307">
        <v>2066</v>
      </c>
      <c r="D249" s="307">
        <v>82</v>
      </c>
      <c r="E249" s="307">
        <v>47</v>
      </c>
      <c r="F249" s="307">
        <v>1</v>
      </c>
      <c r="G249" s="307">
        <v>0.534314615711035</v>
      </c>
      <c r="H249" s="307">
        <v>0.12573459566336975</v>
      </c>
      <c r="I249" s="307">
        <v>1.3727553488360755</v>
      </c>
      <c r="J249" s="307">
        <v>3.9505111719854025</v>
      </c>
      <c r="K249" s="339">
        <v>2100</v>
      </c>
      <c r="L249" s="339">
        <v>11388.479218157234</v>
      </c>
      <c r="M249" s="339">
        <v>6085.0308969827911</v>
      </c>
      <c r="N249" s="339">
        <v>765.09889943124335</v>
      </c>
      <c r="O249" s="339">
        <v>0.2</v>
      </c>
      <c r="P249" s="339">
        <v>2277.6958436314467</v>
      </c>
      <c r="Q249" s="339">
        <v>1217.0061793965581</v>
      </c>
      <c r="R249" s="339">
        <v>153.01977988624867</v>
      </c>
    </row>
    <row r="250" spans="3:18" hidden="1" outlineLevel="1" x14ac:dyDescent="0.3">
      <c r="C250" s="307">
        <v>2067</v>
      </c>
      <c r="D250" s="307">
        <v>83</v>
      </c>
      <c r="E250" s="307">
        <v>48</v>
      </c>
      <c r="F250" s="307">
        <v>1</v>
      </c>
      <c r="G250" s="307">
        <v>0.50475262858610526</v>
      </c>
      <c r="H250" s="307">
        <v>0.11974723396511404</v>
      </c>
      <c r="I250" s="307">
        <v>1.3864829023244363</v>
      </c>
      <c r="J250" s="307">
        <v>4.0690265071449643</v>
      </c>
      <c r="K250" s="339">
        <v>2100</v>
      </c>
      <c r="L250" s="339">
        <v>11847.434930648969</v>
      </c>
      <c r="M250" s="339">
        <v>5980.0239232479089</v>
      </c>
      <c r="N250" s="339">
        <v>716.09132385414648</v>
      </c>
      <c r="O250" s="339">
        <v>0.2</v>
      </c>
      <c r="P250" s="339">
        <v>2369.4869861297939</v>
      </c>
      <c r="Q250" s="339">
        <v>1196.0047846495818</v>
      </c>
      <c r="R250" s="339">
        <v>143.21826477082931</v>
      </c>
    </row>
    <row r="251" spans="3:18" hidden="1" outlineLevel="1" x14ac:dyDescent="0.3">
      <c r="C251" s="307">
        <v>2068</v>
      </c>
      <c r="D251" s="307">
        <v>84</v>
      </c>
      <c r="E251" s="307">
        <v>49</v>
      </c>
      <c r="F251" s="307">
        <v>1</v>
      </c>
      <c r="G251" s="307">
        <v>0.47403099591910092</v>
      </c>
      <c r="H251" s="307">
        <v>0.11404498472868004</v>
      </c>
      <c r="I251" s="307">
        <v>1.4003477313476806</v>
      </c>
      <c r="J251" s="307">
        <v>4.1910973023593137</v>
      </c>
      <c r="K251" s="339">
        <v>2100</v>
      </c>
      <c r="L251" s="339">
        <v>12324.886558354123</v>
      </c>
      <c r="M251" s="339">
        <v>5842.3782498465453</v>
      </c>
      <c r="N251" s="339">
        <v>666.29393828292166</v>
      </c>
      <c r="O251" s="339">
        <v>0.2</v>
      </c>
      <c r="P251" s="339">
        <v>2464.9773116708247</v>
      </c>
      <c r="Q251" s="339">
        <v>1168.4756499693092</v>
      </c>
      <c r="R251" s="339">
        <v>133.25878765658433</v>
      </c>
    </row>
    <row r="252" spans="3:18" hidden="1" outlineLevel="1" x14ac:dyDescent="0.3">
      <c r="C252" s="307">
        <v>2069</v>
      </c>
      <c r="D252" s="307">
        <v>85</v>
      </c>
      <c r="E252" s="307">
        <v>50</v>
      </c>
      <c r="F252" s="307">
        <v>1</v>
      </c>
      <c r="G252" s="307">
        <v>0.44238966442216721</v>
      </c>
      <c r="H252" s="307">
        <v>0.10861427117017146</v>
      </c>
      <c r="I252" s="307">
        <v>1.4143512086611574</v>
      </c>
      <c r="J252" s="307">
        <v>4.3168302214300933</v>
      </c>
      <c r="K252" s="339">
        <v>2100</v>
      </c>
      <c r="L252" s="339">
        <v>12821.579486655795</v>
      </c>
      <c r="M252" s="339">
        <v>5672.1342464638001</v>
      </c>
      <c r="N252" s="339">
        <v>616.07472715903532</v>
      </c>
      <c r="O252" s="339">
        <v>0.2</v>
      </c>
      <c r="P252" s="339">
        <v>2564.3158973311592</v>
      </c>
      <c r="Q252" s="339">
        <v>1134.4268492927602</v>
      </c>
      <c r="R252" s="339">
        <v>123.21494543180708</v>
      </c>
    </row>
    <row r="253" spans="3:18" hidden="1" outlineLevel="1" x14ac:dyDescent="0.3">
      <c r="C253" s="307">
        <v>2070</v>
      </c>
      <c r="D253" s="307">
        <v>86</v>
      </c>
      <c r="E253" s="307">
        <v>51</v>
      </c>
      <c r="F253" s="307">
        <v>1</v>
      </c>
      <c r="G253" s="307">
        <v>0.41003829342478615</v>
      </c>
      <c r="H253" s="307">
        <v>0.10344216301921091</v>
      </c>
      <c r="I253" s="307">
        <v>1.4214229647044629</v>
      </c>
      <c r="J253" s="307">
        <v>4.4463351280729961</v>
      </c>
      <c r="K253" s="339">
        <v>2100</v>
      </c>
      <c r="L253" s="339">
        <v>13272.258005611744</v>
      </c>
      <c r="M253" s="339">
        <v>5442.134022514495</v>
      </c>
      <c r="N253" s="339">
        <v>562.94611472933843</v>
      </c>
      <c r="O253" s="339">
        <v>0.2</v>
      </c>
      <c r="P253" s="339">
        <v>2654.4516011223491</v>
      </c>
      <c r="Q253" s="339">
        <v>1088.4268045028991</v>
      </c>
      <c r="R253" s="339">
        <v>112.5892229458677</v>
      </c>
    </row>
    <row r="254" spans="3:18" hidden="1" outlineLevel="1" x14ac:dyDescent="0.3">
      <c r="C254" s="307">
        <v>2071</v>
      </c>
      <c r="D254" s="307">
        <v>87</v>
      </c>
      <c r="E254" s="307">
        <v>52</v>
      </c>
      <c r="F254" s="307">
        <v>1</v>
      </c>
      <c r="G254" s="307">
        <v>0.37719232451930973</v>
      </c>
      <c r="H254" s="307">
        <v>9.851634573258182E-2</v>
      </c>
      <c r="I254" s="307">
        <v>1.4285300795279852</v>
      </c>
      <c r="J254" s="307">
        <v>4.5797251819151858</v>
      </c>
      <c r="K254" s="339">
        <v>2100</v>
      </c>
      <c r="L254" s="339">
        <v>13738.777874508996</v>
      </c>
      <c r="M254" s="339">
        <v>5182.1615625405093</v>
      </c>
      <c r="N254" s="339">
        <v>510.52762013733724</v>
      </c>
      <c r="O254" s="339">
        <v>0.2</v>
      </c>
      <c r="P254" s="339">
        <v>2747.7555749017993</v>
      </c>
      <c r="Q254" s="339">
        <v>1036.4323125081019</v>
      </c>
      <c r="R254" s="339">
        <v>102.10552402746745</v>
      </c>
    </row>
    <row r="255" spans="3:18" hidden="1" outlineLevel="1" x14ac:dyDescent="0.3">
      <c r="C255" s="307">
        <v>2072</v>
      </c>
      <c r="D255" s="307">
        <v>88</v>
      </c>
      <c r="E255" s="307">
        <v>53</v>
      </c>
      <c r="F255" s="307">
        <v>1</v>
      </c>
      <c r="G255" s="307">
        <v>0.34410318346216362</v>
      </c>
      <c r="H255" s="307">
        <v>9.3825091173887445E-2</v>
      </c>
      <c r="I255" s="307">
        <v>1.4356727299256249</v>
      </c>
      <c r="J255" s="307">
        <v>4.7171169373726416</v>
      </c>
      <c r="K255" s="339">
        <v>2100</v>
      </c>
      <c r="L255" s="339">
        <v>14221.695916797986</v>
      </c>
      <c r="M255" s="339">
        <v>4893.7308392010409</v>
      </c>
      <c r="N255" s="339">
        <v>459.15474216850237</v>
      </c>
      <c r="O255" s="339">
        <v>0.2</v>
      </c>
      <c r="P255" s="339">
        <v>2844.3391833595974</v>
      </c>
      <c r="Q255" s="339">
        <v>978.74616784020816</v>
      </c>
      <c r="R255" s="339">
        <v>91.83094843370047</v>
      </c>
    </row>
    <row r="256" spans="3:18" hidden="1" outlineLevel="1" x14ac:dyDescent="0.3">
      <c r="C256" s="307">
        <v>2073</v>
      </c>
      <c r="D256" s="307">
        <v>89</v>
      </c>
      <c r="E256" s="307">
        <v>54</v>
      </c>
      <c r="F256" s="307">
        <v>1</v>
      </c>
      <c r="G256" s="307">
        <v>0.31092433288219679</v>
      </c>
      <c r="H256" s="307">
        <v>8.9357229689416617E-2</v>
      </c>
      <c r="I256" s="307">
        <v>1.4428510935752528</v>
      </c>
      <c r="J256" s="307">
        <v>4.8586304454938212</v>
      </c>
      <c r="K256" s="339">
        <v>2100</v>
      </c>
      <c r="L256" s="339">
        <v>14721.588528273434</v>
      </c>
      <c r="M256" s="339">
        <v>4577.300092119619</v>
      </c>
      <c r="N256" s="339">
        <v>409.01485568892065</v>
      </c>
      <c r="O256" s="339">
        <v>0.2</v>
      </c>
      <c r="P256" s="339">
        <v>2944.317705654687</v>
      </c>
      <c r="Q256" s="339">
        <v>915.46001842392377</v>
      </c>
      <c r="R256" s="339">
        <v>81.802971137784127</v>
      </c>
    </row>
    <row r="257" spans="1:20" hidden="1" outlineLevel="1" x14ac:dyDescent="0.3">
      <c r="C257" s="307">
        <v>2074</v>
      </c>
      <c r="D257" s="307">
        <v>90</v>
      </c>
      <c r="E257" s="307">
        <v>55</v>
      </c>
      <c r="F257" s="307">
        <v>1</v>
      </c>
      <c r="G257" s="307">
        <v>0.27786614903500484</v>
      </c>
      <c r="H257" s="307">
        <v>8.5102123513730102E-2</v>
      </c>
      <c r="I257" s="307">
        <v>1.4500653490431288</v>
      </c>
      <c r="J257" s="307">
        <v>5.0043893588586359</v>
      </c>
      <c r="K257" s="339">
        <v>2100</v>
      </c>
      <c r="L257" s="339">
        <v>15239.05236504224</v>
      </c>
      <c r="M257" s="339">
        <v>4234.4167956170704</v>
      </c>
      <c r="N257" s="339">
        <v>360.35786114921717</v>
      </c>
      <c r="O257" s="339">
        <v>0.2</v>
      </c>
      <c r="P257" s="339">
        <v>3047.8104730084483</v>
      </c>
      <c r="Q257" s="339">
        <v>846.88335912341404</v>
      </c>
      <c r="R257" s="339">
        <v>72.071572229843426</v>
      </c>
    </row>
    <row r="258" spans="1:20" collapsed="1" x14ac:dyDescent="0.3"/>
    <row r="259" spans="1:20" ht="15" thickBot="1" x14ac:dyDescent="0.35"/>
    <row r="260" spans="1:20" ht="15" thickBot="1" x14ac:dyDescent="0.35">
      <c r="C260" s="399" t="s">
        <v>0</v>
      </c>
      <c r="D260" s="400"/>
      <c r="E260" s="400"/>
      <c r="F260" s="400"/>
      <c r="G260" s="400"/>
      <c r="H260" s="400"/>
      <c r="I260" s="400"/>
      <c r="J260" s="400"/>
      <c r="K260" s="400"/>
      <c r="L260" s="400"/>
      <c r="M260" s="400"/>
      <c r="N260" s="400"/>
      <c r="O260" s="400"/>
      <c r="P260" s="400"/>
      <c r="Q260" s="400"/>
      <c r="R260" s="400"/>
      <c r="S260" s="400"/>
      <c r="T260" s="401"/>
    </row>
    <row r="265" spans="1:20" s="265" customFormat="1" x14ac:dyDescent="0.3">
      <c r="A265" s="265" t="s">
        <v>1188</v>
      </c>
    </row>
  </sheetData>
  <mergeCells count="3">
    <mergeCell ref="C10:F10"/>
    <mergeCell ref="C41:T41"/>
    <mergeCell ref="C260:T260"/>
  </mergeCells>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D482-27FE-4BC4-AF8B-7D44FBD9E4E9}">
  <sheetPr>
    <tabColor theme="9" tint="0.59999389629810485"/>
  </sheetPr>
  <dimension ref="A1:T355"/>
  <sheetViews>
    <sheetView topLeftCell="A23" workbookViewId="0">
      <selection activeCell="O267" sqref="O267"/>
    </sheetView>
  </sheetViews>
  <sheetFormatPr defaultColWidth="9.21875" defaultRowHeight="14.4" outlineLevelRow="1" x14ac:dyDescent="0.3"/>
  <cols>
    <col min="1" max="2" width="9.21875" style="264"/>
    <col min="3" max="18" width="12.109375" style="264" customWidth="1"/>
    <col min="19" max="16384" width="9.21875" style="264"/>
  </cols>
  <sheetData>
    <row r="1" spans="1:19" ht="15" thickBot="1" x14ac:dyDescent="0.35">
      <c r="A1" s="264" t="s">
        <v>1228</v>
      </c>
      <c r="J1" s="10" t="s">
        <v>16</v>
      </c>
      <c r="K1" s="280"/>
    </row>
    <row r="2" spans="1:19" x14ac:dyDescent="0.3">
      <c r="J2" s="279" t="s">
        <v>15</v>
      </c>
      <c r="K2" s="279"/>
    </row>
    <row r="3" spans="1:19" ht="15" thickBot="1" x14ac:dyDescent="0.35">
      <c r="J3" s="7" t="s">
        <v>14</v>
      </c>
      <c r="K3" s="7"/>
    </row>
    <row r="4" spans="1:19" ht="15.6" thickTop="1" thickBot="1" x14ac:dyDescent="0.35">
      <c r="J4" s="6" t="s">
        <v>13</v>
      </c>
      <c r="K4" s="6"/>
    </row>
    <row r="5" spans="1:19" ht="15" thickTop="1" x14ac:dyDescent="0.3">
      <c r="J5" s="278" t="s">
        <v>12</v>
      </c>
      <c r="K5" s="277"/>
    </row>
    <row r="9" spans="1:19" ht="15" thickBot="1" x14ac:dyDescent="0.35"/>
    <row r="10" spans="1:19" ht="15" thickBot="1" x14ac:dyDescent="0.35">
      <c r="C10" s="399" t="s">
        <v>3</v>
      </c>
      <c r="D10" s="400"/>
      <c r="E10" s="400"/>
      <c r="F10" s="401"/>
      <c r="G10" s="39"/>
      <c r="H10" s="39"/>
      <c r="I10" s="39"/>
      <c r="J10" s="39"/>
      <c r="K10" s="39"/>
      <c r="L10" s="39"/>
      <c r="M10" s="39"/>
      <c r="N10" s="39"/>
      <c r="O10" s="39"/>
      <c r="P10" s="39"/>
      <c r="Q10" s="39"/>
      <c r="R10" s="39"/>
      <c r="S10" s="39"/>
    </row>
    <row r="12" spans="1:19" x14ac:dyDescent="0.3">
      <c r="C12" s="264" t="s">
        <v>1227</v>
      </c>
    </row>
    <row r="14" spans="1:19" x14ac:dyDescent="0.3">
      <c r="D14" s="264" t="s">
        <v>1226</v>
      </c>
    </row>
    <row r="15" spans="1:19" x14ac:dyDescent="0.3">
      <c r="C15" s="302">
        <v>3000000</v>
      </c>
      <c r="D15" s="264" t="s">
        <v>1225</v>
      </c>
    </row>
    <row r="16" spans="1:19" x14ac:dyDescent="0.3">
      <c r="C16" s="302">
        <v>150000000</v>
      </c>
      <c r="D16" s="264" t="s">
        <v>1224</v>
      </c>
    </row>
    <row r="17" spans="3:6" x14ac:dyDescent="0.3">
      <c r="C17" s="344">
        <v>0.1</v>
      </c>
    </row>
    <row r="19" spans="3:6" x14ac:dyDescent="0.3">
      <c r="C19" s="264" t="s">
        <v>1223</v>
      </c>
    </row>
    <row r="20" spans="3:6" x14ac:dyDescent="0.3">
      <c r="C20" s="342">
        <v>45292</v>
      </c>
    </row>
    <row r="21" spans="3:6" x14ac:dyDescent="0.3">
      <c r="C21" s="343">
        <v>1000</v>
      </c>
      <c r="D21" s="264" t="s">
        <v>1222</v>
      </c>
    </row>
    <row r="22" spans="3:6" x14ac:dyDescent="0.3">
      <c r="C22" s="264">
        <v>40</v>
      </c>
      <c r="D22" s="264" t="s">
        <v>1221</v>
      </c>
    </row>
    <row r="23" spans="3:6" x14ac:dyDescent="0.3">
      <c r="C23" s="342">
        <v>43465</v>
      </c>
      <c r="D23" s="264" t="s">
        <v>1220</v>
      </c>
    </row>
    <row r="24" spans="3:6" x14ac:dyDescent="0.3">
      <c r="D24" s="264" t="s">
        <v>1219</v>
      </c>
    </row>
    <row r="25" spans="3:6" x14ac:dyDescent="0.3">
      <c r="D25" s="264" t="s">
        <v>1218</v>
      </c>
    </row>
    <row r="27" spans="3:6" x14ac:dyDescent="0.3">
      <c r="C27" s="264" t="s">
        <v>1217</v>
      </c>
    </row>
    <row r="29" spans="3:6" x14ac:dyDescent="0.3">
      <c r="C29" s="341"/>
      <c r="D29" s="341" t="s">
        <v>1216</v>
      </c>
      <c r="E29" s="341" t="s">
        <v>1215</v>
      </c>
      <c r="F29" s="341"/>
    </row>
    <row r="30" spans="3:6" x14ac:dyDescent="0.3">
      <c r="C30" s="341" t="s">
        <v>1214</v>
      </c>
      <c r="D30" s="341">
        <v>3500</v>
      </c>
      <c r="E30" s="341">
        <v>1000</v>
      </c>
      <c r="F30" s="341"/>
    </row>
    <row r="31" spans="3:6" x14ac:dyDescent="0.3">
      <c r="C31" s="341" t="s">
        <v>1213</v>
      </c>
      <c r="D31" s="341" t="s">
        <v>1212</v>
      </c>
      <c r="E31" s="341" t="s">
        <v>1212</v>
      </c>
      <c r="F31" s="341"/>
    </row>
    <row r="33" spans="3:20" x14ac:dyDescent="0.3">
      <c r="C33" s="264" t="s">
        <v>1211</v>
      </c>
    </row>
    <row r="35" spans="3:20" x14ac:dyDescent="0.3">
      <c r="C35" s="264" t="s">
        <v>1210</v>
      </c>
    </row>
    <row r="36" spans="3:20" x14ac:dyDescent="0.3">
      <c r="C36" s="264" t="s">
        <v>1209</v>
      </c>
    </row>
    <row r="37" spans="3:20" x14ac:dyDescent="0.3">
      <c r="C37" s="264" t="s">
        <v>1208</v>
      </c>
    </row>
    <row r="38" spans="3:20" x14ac:dyDescent="0.3">
      <c r="C38" s="264" t="s">
        <v>1207</v>
      </c>
    </row>
    <row r="39" spans="3:20" x14ac:dyDescent="0.3">
      <c r="C39" s="264" t="s">
        <v>1206</v>
      </c>
    </row>
    <row r="40" spans="3:20" ht="15" thickBot="1" x14ac:dyDescent="0.35"/>
    <row r="41" spans="3:20" ht="15" thickBot="1" x14ac:dyDescent="0.35">
      <c r="C41" s="399" t="s">
        <v>10</v>
      </c>
      <c r="D41" s="400"/>
      <c r="E41" s="400"/>
      <c r="F41" s="400"/>
      <c r="G41" s="400"/>
      <c r="H41" s="400"/>
      <c r="I41" s="400"/>
      <c r="J41" s="400"/>
      <c r="K41" s="400"/>
      <c r="L41" s="400"/>
      <c r="M41" s="400"/>
      <c r="N41" s="400"/>
      <c r="O41" s="400"/>
      <c r="P41" s="400"/>
      <c r="Q41" s="400"/>
      <c r="R41" s="400"/>
      <c r="S41" s="400"/>
      <c r="T41" s="401"/>
    </row>
    <row r="43" spans="3:20" x14ac:dyDescent="0.3">
      <c r="C43" s="123" t="s">
        <v>1205</v>
      </c>
    </row>
    <row r="44" spans="3:20" ht="57.6" x14ac:dyDescent="0.3">
      <c r="C44" s="340" t="s">
        <v>291</v>
      </c>
      <c r="D44" s="340" t="s">
        <v>7</v>
      </c>
      <c r="E44" s="340" t="s">
        <v>1095</v>
      </c>
      <c r="F44" s="340" t="s">
        <v>1201</v>
      </c>
      <c r="G44" s="340" t="s">
        <v>1200</v>
      </c>
      <c r="H44" s="340" t="s">
        <v>1199</v>
      </c>
      <c r="I44" s="340" t="s">
        <v>1198</v>
      </c>
      <c r="J44" s="340" t="s">
        <v>1197</v>
      </c>
      <c r="K44" s="340" t="s">
        <v>1196</v>
      </c>
      <c r="L44" s="340" t="s">
        <v>1195</v>
      </c>
      <c r="M44" s="340" t="s">
        <v>1194</v>
      </c>
      <c r="N44" s="340" t="s">
        <v>1193</v>
      </c>
      <c r="O44" s="340" t="s">
        <v>1192</v>
      </c>
      <c r="P44" s="340" t="s">
        <v>1191</v>
      </c>
      <c r="Q44" s="340" t="s">
        <v>1190</v>
      </c>
      <c r="R44" s="340" t="s">
        <v>1189</v>
      </c>
    </row>
    <row r="45" spans="3:20" hidden="1" outlineLevel="1" x14ac:dyDescent="0.3">
      <c r="C45" s="307">
        <v>2024</v>
      </c>
      <c r="D45" s="307">
        <v>40</v>
      </c>
      <c r="E45" s="307">
        <v>5</v>
      </c>
      <c r="F45" s="307">
        <v>0</v>
      </c>
      <c r="G45" s="307">
        <v>0</v>
      </c>
      <c r="H45" s="307">
        <v>0.97590007294853309</v>
      </c>
      <c r="I45" s="307">
        <v>0.47760556926165926</v>
      </c>
      <c r="J45" s="307">
        <v>1</v>
      </c>
      <c r="K45" s="339">
        <v>15000</v>
      </c>
      <c r="L45" s="339">
        <v>7164.0835389248887</v>
      </c>
      <c r="M45" s="339">
        <v>0</v>
      </c>
      <c r="N45" s="339">
        <v>0</v>
      </c>
      <c r="O45" s="339">
        <v>3500</v>
      </c>
      <c r="P45" s="339">
        <v>3500</v>
      </c>
      <c r="Q45" s="339">
        <v>0</v>
      </c>
      <c r="R45" s="339">
        <v>0</v>
      </c>
    </row>
    <row r="46" spans="3:20" hidden="1" outlineLevel="1" x14ac:dyDescent="0.3">
      <c r="C46" s="307">
        <v>2025</v>
      </c>
      <c r="D46" s="307">
        <v>41</v>
      </c>
      <c r="E46" s="307">
        <v>6</v>
      </c>
      <c r="F46" s="307">
        <v>0</v>
      </c>
      <c r="G46" s="307">
        <v>0</v>
      </c>
      <c r="H46" s="307">
        <v>0.92942864090336486</v>
      </c>
      <c r="I46" s="307">
        <v>0.49193373633950904</v>
      </c>
      <c r="J46" s="307">
        <v>1.075</v>
      </c>
      <c r="K46" s="339">
        <v>15000</v>
      </c>
      <c r="L46" s="339">
        <v>7932.4314984745833</v>
      </c>
      <c r="M46" s="339">
        <v>0</v>
      </c>
      <c r="N46" s="339">
        <v>0</v>
      </c>
      <c r="O46" s="339">
        <v>3500</v>
      </c>
      <c r="P46" s="339">
        <v>3500</v>
      </c>
      <c r="Q46" s="339">
        <v>0</v>
      </c>
      <c r="R46" s="339">
        <v>0</v>
      </c>
    </row>
    <row r="47" spans="3:20" hidden="1" outlineLevel="1" x14ac:dyDescent="0.3">
      <c r="C47" s="307">
        <v>2026</v>
      </c>
      <c r="D47" s="307">
        <v>42</v>
      </c>
      <c r="E47" s="307">
        <v>7</v>
      </c>
      <c r="F47" s="307">
        <v>0</v>
      </c>
      <c r="G47" s="307">
        <v>0</v>
      </c>
      <c r="H47" s="307">
        <v>0.88517013419368074</v>
      </c>
      <c r="I47" s="307">
        <v>0.50669174842969433</v>
      </c>
      <c r="J47" s="307">
        <v>1.1529374999999999</v>
      </c>
      <c r="K47" s="339">
        <v>15000</v>
      </c>
      <c r="L47" s="339">
        <v>8762.7587655774114</v>
      </c>
      <c r="M47" s="339">
        <v>0</v>
      </c>
      <c r="N47" s="339">
        <v>0</v>
      </c>
      <c r="O47" s="339">
        <v>3500</v>
      </c>
      <c r="P47" s="339">
        <v>3500</v>
      </c>
      <c r="Q47" s="339">
        <v>0</v>
      </c>
      <c r="R47" s="339">
        <v>0</v>
      </c>
    </row>
    <row r="48" spans="3:20" hidden="1" outlineLevel="1" x14ac:dyDescent="0.3">
      <c r="C48" s="307">
        <v>2027</v>
      </c>
      <c r="D48" s="307">
        <v>43</v>
      </c>
      <c r="E48" s="307">
        <v>8</v>
      </c>
      <c r="F48" s="307">
        <v>0</v>
      </c>
      <c r="G48" s="307">
        <v>0</v>
      </c>
      <c r="H48" s="307">
        <v>0.843019175422553</v>
      </c>
      <c r="I48" s="307">
        <v>0.52189250088258521</v>
      </c>
      <c r="J48" s="307">
        <v>1.233643125</v>
      </c>
      <c r="K48" s="339">
        <v>15000</v>
      </c>
      <c r="L48" s="339">
        <v>9657.4364355428643</v>
      </c>
      <c r="M48" s="339">
        <v>0</v>
      </c>
      <c r="N48" s="339">
        <v>0</v>
      </c>
      <c r="O48" s="339">
        <v>3500</v>
      </c>
      <c r="P48" s="339">
        <v>3500</v>
      </c>
      <c r="Q48" s="339">
        <v>0</v>
      </c>
      <c r="R48" s="339">
        <v>0</v>
      </c>
    </row>
    <row r="49" spans="3:18" hidden="1" outlineLevel="1" x14ac:dyDescent="0.3">
      <c r="C49" s="307">
        <v>2028</v>
      </c>
      <c r="D49" s="307">
        <v>44</v>
      </c>
      <c r="E49" s="307">
        <v>9</v>
      </c>
      <c r="F49" s="307">
        <v>0</v>
      </c>
      <c r="G49" s="307">
        <v>0</v>
      </c>
      <c r="H49" s="307">
        <v>0.8028754051643362</v>
      </c>
      <c r="I49" s="307">
        <v>0.53754927590906276</v>
      </c>
      <c r="J49" s="307">
        <v>1.3169140359374998</v>
      </c>
      <c r="K49" s="339">
        <v>15000</v>
      </c>
      <c r="L49" s="339">
        <v>10618.592796790266</v>
      </c>
      <c r="M49" s="339">
        <v>0</v>
      </c>
      <c r="N49" s="339">
        <v>0</v>
      </c>
      <c r="O49" s="339">
        <v>3500</v>
      </c>
      <c r="P49" s="339">
        <v>3500</v>
      </c>
      <c r="Q49" s="339">
        <v>0</v>
      </c>
      <c r="R49" s="339">
        <v>0</v>
      </c>
    </row>
    <row r="50" spans="3:18" hidden="1" outlineLevel="1" x14ac:dyDescent="0.3">
      <c r="C50" s="307">
        <v>2029</v>
      </c>
      <c r="D50" s="307">
        <v>45</v>
      </c>
      <c r="E50" s="307">
        <v>10</v>
      </c>
      <c r="F50" s="307">
        <v>0</v>
      </c>
      <c r="G50" s="307">
        <v>0</v>
      </c>
      <c r="H50" s="307">
        <v>0.7646432430136535</v>
      </c>
      <c r="I50" s="307">
        <v>0.55367575418633463</v>
      </c>
      <c r="J50" s="307">
        <v>1.4025134482734372</v>
      </c>
      <c r="K50" s="339">
        <v>15000</v>
      </c>
      <c r="L50" s="339">
        <v>11648.065368439082</v>
      </c>
      <c r="M50" s="339">
        <v>0</v>
      </c>
      <c r="N50" s="339">
        <v>0</v>
      </c>
      <c r="O50" s="339">
        <v>3500</v>
      </c>
      <c r="P50" s="339">
        <v>3500</v>
      </c>
      <c r="Q50" s="339">
        <v>0</v>
      </c>
      <c r="R50" s="339">
        <v>0</v>
      </c>
    </row>
    <row r="51" spans="3:18" hidden="1" outlineLevel="1" x14ac:dyDescent="0.3">
      <c r="C51" s="307">
        <v>2030</v>
      </c>
      <c r="D51" s="307">
        <v>46</v>
      </c>
      <c r="E51" s="307">
        <v>11</v>
      </c>
      <c r="F51" s="307">
        <v>0</v>
      </c>
      <c r="G51" s="307">
        <v>0</v>
      </c>
      <c r="H51" s="307">
        <v>0.72823166001300332</v>
      </c>
      <c r="I51" s="307">
        <v>0.57028602681192464</v>
      </c>
      <c r="J51" s="307">
        <v>1.4901705387905271</v>
      </c>
      <c r="K51" s="339">
        <v>15000</v>
      </c>
      <c r="L51" s="339">
        <v>12747.351537585522</v>
      </c>
      <c r="M51" s="339">
        <v>0</v>
      </c>
      <c r="N51" s="339">
        <v>0</v>
      </c>
      <c r="O51" s="339">
        <v>3500</v>
      </c>
      <c r="P51" s="339">
        <v>3500</v>
      </c>
      <c r="Q51" s="339">
        <v>0</v>
      </c>
      <c r="R51" s="339">
        <v>0</v>
      </c>
    </row>
    <row r="52" spans="3:18" hidden="1" outlineLevel="1" x14ac:dyDescent="0.3">
      <c r="C52" s="307">
        <v>2031</v>
      </c>
      <c r="D52" s="307">
        <v>47</v>
      </c>
      <c r="E52" s="307">
        <v>12</v>
      </c>
      <c r="F52" s="307">
        <v>0</v>
      </c>
      <c r="G52" s="307">
        <v>0</v>
      </c>
      <c r="H52" s="307">
        <v>0.69355396191714602</v>
      </c>
      <c r="I52" s="307">
        <v>0.58739460761628237</v>
      </c>
      <c r="J52" s="307">
        <v>1.5795807711179588</v>
      </c>
      <c r="K52" s="339">
        <v>15000</v>
      </c>
      <c r="L52" s="339">
        <v>13917.558408735873</v>
      </c>
      <c r="M52" s="339">
        <v>0</v>
      </c>
      <c r="N52" s="339">
        <v>0</v>
      </c>
      <c r="O52" s="339">
        <v>3500</v>
      </c>
      <c r="P52" s="339">
        <v>3500</v>
      </c>
      <c r="Q52" s="339">
        <v>0</v>
      </c>
      <c r="R52" s="339">
        <v>0</v>
      </c>
    </row>
    <row r="53" spans="3:18" hidden="1" outlineLevel="1" x14ac:dyDescent="0.3">
      <c r="C53" s="307">
        <v>2032</v>
      </c>
      <c r="D53" s="307">
        <v>48</v>
      </c>
      <c r="E53" s="307">
        <v>13</v>
      </c>
      <c r="F53" s="307">
        <v>0</v>
      </c>
      <c r="G53" s="307">
        <v>0</v>
      </c>
      <c r="H53" s="307">
        <v>0.66052758277823431</v>
      </c>
      <c r="I53" s="307">
        <v>0.60501644584477088</v>
      </c>
      <c r="J53" s="307">
        <v>1.6704066654572411</v>
      </c>
      <c r="K53" s="339">
        <v>15000</v>
      </c>
      <c r="L53" s="339">
        <v>15159.352557755328</v>
      </c>
      <c r="M53" s="339">
        <v>0</v>
      </c>
      <c r="N53" s="339">
        <v>0</v>
      </c>
      <c r="O53" s="339">
        <v>3500</v>
      </c>
      <c r="P53" s="339">
        <v>3500</v>
      </c>
      <c r="Q53" s="339">
        <v>0</v>
      </c>
      <c r="R53" s="339">
        <v>0</v>
      </c>
    </row>
    <row r="54" spans="3:18" hidden="1" outlineLevel="1" x14ac:dyDescent="0.3">
      <c r="C54" s="307">
        <v>2033</v>
      </c>
      <c r="D54" s="307">
        <v>49</v>
      </c>
      <c r="E54" s="307">
        <v>14</v>
      </c>
      <c r="F54" s="307">
        <v>0</v>
      </c>
      <c r="G54" s="307">
        <v>0</v>
      </c>
      <c r="H54" s="307">
        <v>0.62907388836022315</v>
      </c>
      <c r="I54" s="307">
        <v>0.62316693922011401</v>
      </c>
      <c r="J54" s="307">
        <v>1.7622790320573893</v>
      </c>
      <c r="K54" s="339">
        <v>15000</v>
      </c>
      <c r="L54" s="339">
        <v>16472.910456884827</v>
      </c>
      <c r="M54" s="339">
        <v>0</v>
      </c>
      <c r="N54" s="339">
        <v>0</v>
      </c>
      <c r="O54" s="339">
        <v>3500</v>
      </c>
      <c r="P54" s="339">
        <v>3500</v>
      </c>
      <c r="Q54" s="339">
        <v>0</v>
      </c>
      <c r="R54" s="339">
        <v>0</v>
      </c>
    </row>
    <row r="55" spans="3:18" hidden="1" outlineLevel="1" x14ac:dyDescent="0.3">
      <c r="C55" s="307">
        <v>2034</v>
      </c>
      <c r="D55" s="307">
        <v>50</v>
      </c>
      <c r="E55" s="307">
        <v>15</v>
      </c>
      <c r="F55" s="307">
        <v>0</v>
      </c>
      <c r="G55" s="307">
        <v>0</v>
      </c>
      <c r="H55" s="307">
        <v>0.59911798891449819</v>
      </c>
      <c r="I55" s="307">
        <v>0.64186194739671742</v>
      </c>
      <c r="J55" s="307">
        <v>1.8547986812404023</v>
      </c>
      <c r="K55" s="339">
        <v>15000</v>
      </c>
      <c r="L55" s="339">
        <v>17857.870403547418</v>
      </c>
      <c r="M55" s="339">
        <v>0</v>
      </c>
      <c r="N55" s="339">
        <v>0</v>
      </c>
      <c r="O55" s="339">
        <v>3500</v>
      </c>
      <c r="P55" s="339">
        <v>3500</v>
      </c>
      <c r="Q55" s="339">
        <v>0</v>
      </c>
      <c r="R55" s="339">
        <v>0</v>
      </c>
    </row>
    <row r="56" spans="3:18" hidden="1" outlineLevel="1" x14ac:dyDescent="0.3">
      <c r="C56" s="307">
        <v>2035</v>
      </c>
      <c r="D56" s="307">
        <v>51</v>
      </c>
      <c r="E56" s="307">
        <v>16</v>
      </c>
      <c r="F56" s="307">
        <v>0</v>
      </c>
      <c r="G56" s="307">
        <v>0</v>
      </c>
      <c r="H56" s="307">
        <v>0.57058856087095067</v>
      </c>
      <c r="I56" s="307">
        <v>0.66111780581861901</v>
      </c>
      <c r="J56" s="307">
        <v>1.9475386153024226</v>
      </c>
      <c r="K56" s="339">
        <v>15000</v>
      </c>
      <c r="L56" s="339">
        <v>19313.286841436537</v>
      </c>
      <c r="M56" s="339">
        <v>0</v>
      </c>
      <c r="N56" s="339">
        <v>0</v>
      </c>
      <c r="O56" s="339">
        <v>3500</v>
      </c>
      <c r="P56" s="339">
        <v>3500</v>
      </c>
      <c r="Q56" s="339">
        <v>0</v>
      </c>
      <c r="R56" s="339">
        <v>0</v>
      </c>
    </row>
    <row r="57" spans="3:18" hidden="1" outlineLevel="1" x14ac:dyDescent="0.3">
      <c r="C57" s="307">
        <v>2036</v>
      </c>
      <c r="D57" s="307">
        <v>52</v>
      </c>
      <c r="E57" s="307">
        <v>17</v>
      </c>
      <c r="F57" s="307">
        <v>0</v>
      </c>
      <c r="G57" s="307">
        <v>0</v>
      </c>
      <c r="H57" s="307">
        <v>0.54341767701995303</v>
      </c>
      <c r="I57" s="307">
        <v>0.68095133999317758</v>
      </c>
      <c r="J57" s="307">
        <v>2.0449155460675437</v>
      </c>
      <c r="K57" s="339">
        <v>15000</v>
      </c>
      <c r="L57" s="339">
        <v>20887.319719013616</v>
      </c>
      <c r="M57" s="339">
        <v>0</v>
      </c>
      <c r="N57" s="339">
        <v>0</v>
      </c>
      <c r="O57" s="339">
        <v>3500</v>
      </c>
      <c r="P57" s="339">
        <v>3500</v>
      </c>
      <c r="Q57" s="339">
        <v>0</v>
      </c>
      <c r="R57" s="339">
        <v>0</v>
      </c>
    </row>
    <row r="58" spans="3:18" hidden="1" outlineLevel="1" x14ac:dyDescent="0.3">
      <c r="C58" s="307">
        <v>2037</v>
      </c>
      <c r="D58" s="307">
        <v>53</v>
      </c>
      <c r="E58" s="307">
        <v>18</v>
      </c>
      <c r="F58" s="307">
        <v>0</v>
      </c>
      <c r="G58" s="307">
        <v>0</v>
      </c>
      <c r="H58" s="307">
        <v>0.51754064478090767</v>
      </c>
      <c r="I58" s="307">
        <v>0.70137988019297293</v>
      </c>
      <c r="J58" s="307">
        <v>2.1471613233709208</v>
      </c>
      <c r="K58" s="339">
        <v>15000</v>
      </c>
      <c r="L58" s="339">
        <v>22589.636276113226</v>
      </c>
      <c r="M58" s="339">
        <v>0</v>
      </c>
      <c r="N58" s="339">
        <v>0</v>
      </c>
      <c r="O58" s="339">
        <v>3500</v>
      </c>
      <c r="P58" s="339">
        <v>3500</v>
      </c>
      <c r="Q58" s="339">
        <v>0</v>
      </c>
      <c r="R58" s="339">
        <v>0</v>
      </c>
    </row>
    <row r="59" spans="3:18" hidden="1" outlineLevel="1" x14ac:dyDescent="0.3">
      <c r="C59" s="307">
        <v>2038</v>
      </c>
      <c r="D59" s="307">
        <v>54</v>
      </c>
      <c r="E59" s="307">
        <v>19</v>
      </c>
      <c r="F59" s="307">
        <v>0</v>
      </c>
      <c r="G59" s="307">
        <v>0</v>
      </c>
      <c r="H59" s="307">
        <v>0.49289585217229298</v>
      </c>
      <c r="I59" s="307">
        <v>0.7224212765987621</v>
      </c>
      <c r="J59" s="307">
        <v>2.2545193895394671</v>
      </c>
      <c r="K59" s="339">
        <v>15000</v>
      </c>
      <c r="L59" s="339">
        <v>24430.691632616454</v>
      </c>
      <c r="M59" s="339">
        <v>0</v>
      </c>
      <c r="N59" s="339">
        <v>0</v>
      </c>
      <c r="O59" s="339">
        <v>3500</v>
      </c>
      <c r="P59" s="339">
        <v>3500</v>
      </c>
      <c r="Q59" s="339">
        <v>0</v>
      </c>
      <c r="R59" s="339">
        <v>0</v>
      </c>
    </row>
    <row r="60" spans="3:18" hidden="1" outlineLevel="1" x14ac:dyDescent="0.3">
      <c r="C60" s="307">
        <v>2039</v>
      </c>
      <c r="D60" s="307">
        <v>55</v>
      </c>
      <c r="E60" s="307">
        <v>20</v>
      </c>
      <c r="F60" s="307">
        <v>1</v>
      </c>
      <c r="G60" s="307">
        <v>8.3657758364132084E-2</v>
      </c>
      <c r="H60" s="307">
        <v>0.46942462111646949</v>
      </c>
      <c r="I60" s="307">
        <v>0.74409391489672494</v>
      </c>
      <c r="J60" s="307">
        <v>2.3672453590164406</v>
      </c>
      <c r="K60" s="339">
        <v>15000</v>
      </c>
      <c r="L60" s="339">
        <v>26421.793000674697</v>
      </c>
      <c r="M60" s="339">
        <v>2210.3879743975604</v>
      </c>
      <c r="N60" s="339">
        <v>1037.6105374019753</v>
      </c>
      <c r="O60" s="339">
        <v>3500</v>
      </c>
      <c r="P60" s="339">
        <v>3500</v>
      </c>
      <c r="Q60" s="339">
        <v>292.80215427446228</v>
      </c>
      <c r="R60" s="339">
        <v>137.4485403323755</v>
      </c>
    </row>
    <row r="61" spans="3:18" hidden="1" outlineLevel="1" x14ac:dyDescent="0.3">
      <c r="C61" s="307">
        <v>2040</v>
      </c>
      <c r="D61" s="307">
        <v>56</v>
      </c>
      <c r="E61" s="307">
        <v>21</v>
      </c>
      <c r="F61" s="307">
        <v>1</v>
      </c>
      <c r="G61" s="307">
        <v>8.3436081009928664E-2</v>
      </c>
      <c r="H61" s="307">
        <v>0.44707106772997091</v>
      </c>
      <c r="I61" s="307">
        <v>0.76641673234362673</v>
      </c>
      <c r="J61" s="307">
        <v>2.4856076269672629</v>
      </c>
      <c r="K61" s="339">
        <v>15000</v>
      </c>
      <c r="L61" s="339">
        <v>28575.169130229689</v>
      </c>
      <c r="M61" s="339">
        <v>2384.2001264222572</v>
      </c>
      <c r="N61" s="339">
        <v>1065.9068962015301</v>
      </c>
      <c r="O61" s="339">
        <v>3500</v>
      </c>
      <c r="P61" s="339">
        <v>3500</v>
      </c>
      <c r="Q61" s="339">
        <v>292.02628353475035</v>
      </c>
      <c r="R61" s="339">
        <v>130.55650238509605</v>
      </c>
    </row>
    <row r="62" spans="3:18" hidden="1" outlineLevel="1" x14ac:dyDescent="0.3">
      <c r="C62" s="307">
        <v>2041</v>
      </c>
      <c r="D62" s="307">
        <v>57</v>
      </c>
      <c r="E62" s="307">
        <v>22</v>
      </c>
      <c r="F62" s="307">
        <v>1</v>
      </c>
      <c r="G62" s="307">
        <v>8.3189962117090982E-2</v>
      </c>
      <c r="H62" s="307">
        <v>0.42578196926663892</v>
      </c>
      <c r="I62" s="307">
        <v>0.7894092343139355</v>
      </c>
      <c r="J62" s="307">
        <v>2.6098880083156262</v>
      </c>
      <c r="K62" s="339">
        <v>15000</v>
      </c>
      <c r="L62" s="339">
        <v>30904.045414343407</v>
      </c>
      <c r="M62" s="339">
        <v>2570.9063672840875</v>
      </c>
      <c r="N62" s="339">
        <v>1094.6455758623597</v>
      </c>
      <c r="O62" s="339">
        <v>3500</v>
      </c>
      <c r="P62" s="339">
        <v>3500</v>
      </c>
      <c r="Q62" s="339">
        <v>291.16486740981844</v>
      </c>
      <c r="R62" s="339">
        <v>123.97275062701232</v>
      </c>
    </row>
    <row r="63" spans="3:18" hidden="1" outlineLevel="1" x14ac:dyDescent="0.3">
      <c r="C63" s="307">
        <v>2042</v>
      </c>
      <c r="D63" s="307">
        <v>58</v>
      </c>
      <c r="E63" s="307">
        <v>23</v>
      </c>
      <c r="F63" s="307">
        <v>1</v>
      </c>
      <c r="G63" s="307">
        <v>8.291961411190274E-2</v>
      </c>
      <c r="H63" s="307">
        <v>0.40550663739679893</v>
      </c>
      <c r="I63" s="307">
        <v>0.81309151134335356</v>
      </c>
      <c r="J63" s="307">
        <v>2.7403824087314077</v>
      </c>
      <c r="K63" s="339">
        <v>15000</v>
      </c>
      <c r="L63" s="339">
        <v>33422.725115612397</v>
      </c>
      <c r="M63" s="339">
        <v>2771.39946915478</v>
      </c>
      <c r="N63" s="339">
        <v>1123.8208796202284</v>
      </c>
      <c r="O63" s="339">
        <v>3500</v>
      </c>
      <c r="P63" s="339">
        <v>3500</v>
      </c>
      <c r="Q63" s="339">
        <v>290.2186493916596</v>
      </c>
      <c r="R63" s="339">
        <v>117.68558862465242</v>
      </c>
    </row>
    <row r="64" spans="3:18" hidden="1" outlineLevel="1" x14ac:dyDescent="0.3">
      <c r="C64" s="307">
        <v>2043</v>
      </c>
      <c r="D64" s="307">
        <v>59</v>
      </c>
      <c r="E64" s="307">
        <v>24</v>
      </c>
      <c r="F64" s="307">
        <v>1</v>
      </c>
      <c r="G64" s="307">
        <v>8.2621131741777848E-2</v>
      </c>
      <c r="H64" s="307">
        <v>0.38619679752076086</v>
      </c>
      <c r="I64" s="307">
        <v>0.83748425668365423</v>
      </c>
      <c r="J64" s="307">
        <v>2.8774015291679782</v>
      </c>
      <c r="K64" s="339">
        <v>15000</v>
      </c>
      <c r="L64" s="339">
        <v>36146.677212534814</v>
      </c>
      <c r="M64" s="339">
        <v>2986.4793800043581</v>
      </c>
      <c r="N64" s="339">
        <v>1153.3687724194706</v>
      </c>
      <c r="O64" s="339">
        <v>3500</v>
      </c>
      <c r="P64" s="339">
        <v>3500</v>
      </c>
      <c r="Q64" s="339">
        <v>289.17396109622246</v>
      </c>
      <c r="R64" s="339">
        <v>111.6780577017542</v>
      </c>
    </row>
    <row r="65" spans="3:18" hidden="1" outlineLevel="1" x14ac:dyDescent="0.3">
      <c r="C65" s="307">
        <v>2044</v>
      </c>
      <c r="D65" s="307">
        <v>60</v>
      </c>
      <c r="E65" s="307">
        <v>25</v>
      </c>
      <c r="F65" s="307">
        <v>1</v>
      </c>
      <c r="G65" s="307">
        <v>8.2290678670606812E-2</v>
      </c>
      <c r="H65" s="307">
        <v>0.36780647382929604</v>
      </c>
      <c r="I65" s="307">
        <v>0.86260878438416388</v>
      </c>
      <c r="J65" s="307">
        <v>3.0212716056263771</v>
      </c>
      <c r="K65" s="339">
        <v>15000</v>
      </c>
      <c r="L65" s="339">
        <v>39092.631405356406</v>
      </c>
      <c r="M65" s="339">
        <v>3216.9591693666562</v>
      </c>
      <c r="N65" s="339">
        <v>1183.2184085375709</v>
      </c>
      <c r="O65" s="339">
        <v>3500</v>
      </c>
      <c r="P65" s="339">
        <v>3500</v>
      </c>
      <c r="Q65" s="339">
        <v>288.01737534712385</v>
      </c>
      <c r="R65" s="339">
        <v>105.93465522799444</v>
      </c>
    </row>
    <row r="66" spans="3:18" hidden="1" outlineLevel="1" x14ac:dyDescent="0.3">
      <c r="C66" s="307">
        <v>2045</v>
      </c>
      <c r="D66" s="307">
        <v>61</v>
      </c>
      <c r="E66" s="307">
        <v>26</v>
      </c>
      <c r="F66" s="307">
        <v>1</v>
      </c>
      <c r="G66" s="307">
        <v>8.1924528444045311E-2</v>
      </c>
      <c r="H66" s="307">
        <v>0.35029187983742477</v>
      </c>
      <c r="I66" s="307">
        <v>0.88848704791568878</v>
      </c>
      <c r="J66" s="307">
        <v>3.1723351859076963</v>
      </c>
      <c r="K66" s="339">
        <v>15000</v>
      </c>
      <c r="L66" s="339">
        <v>42278.680864892951</v>
      </c>
      <c r="M66" s="339">
        <v>3463.6609930926365</v>
      </c>
      <c r="N66" s="339">
        <v>1213.2923203899811</v>
      </c>
      <c r="O66" s="339">
        <v>3500</v>
      </c>
      <c r="P66" s="339">
        <v>3500</v>
      </c>
      <c r="Q66" s="339">
        <v>286.73584955415856</v>
      </c>
      <c r="R66" s="339">
        <v>100.44123975710721</v>
      </c>
    </row>
    <row r="67" spans="3:18" hidden="1" outlineLevel="1" x14ac:dyDescent="0.3">
      <c r="C67" s="307">
        <v>2046</v>
      </c>
      <c r="D67" s="307">
        <v>62</v>
      </c>
      <c r="E67" s="307">
        <v>27</v>
      </c>
      <c r="F67" s="307">
        <v>1</v>
      </c>
      <c r="G67" s="307">
        <v>0.30155919348843885</v>
      </c>
      <c r="H67" s="307">
        <v>0.33361131413088074</v>
      </c>
      <c r="I67" s="307">
        <v>0.9151416593531595</v>
      </c>
      <c r="J67" s="307">
        <v>3.3309519452030814</v>
      </c>
      <c r="K67" s="339">
        <v>15000</v>
      </c>
      <c r="L67" s="339">
        <v>45724.393355381733</v>
      </c>
      <c r="M67" s="339">
        <v>13788.611182997047</v>
      </c>
      <c r="N67" s="339">
        <v>4600.0366967994032</v>
      </c>
      <c r="O67" s="339">
        <v>3500</v>
      </c>
      <c r="P67" s="339">
        <v>3500</v>
      </c>
      <c r="Q67" s="339">
        <v>1055.457177209536</v>
      </c>
      <c r="R67" s="339">
        <v>352.11245589774319</v>
      </c>
    </row>
    <row r="68" spans="3:18" hidden="1" outlineLevel="1" x14ac:dyDescent="0.3">
      <c r="C68" s="307">
        <v>2047</v>
      </c>
      <c r="D68" s="307">
        <v>63</v>
      </c>
      <c r="E68" s="307">
        <v>28</v>
      </c>
      <c r="F68" s="307">
        <v>1</v>
      </c>
      <c r="G68" s="307">
        <v>0.45273876053242179</v>
      </c>
      <c r="H68" s="307">
        <v>0.31772506107702925</v>
      </c>
      <c r="I68" s="307">
        <v>0.94259590913375435</v>
      </c>
      <c r="J68" s="307">
        <v>3.4974995424632356</v>
      </c>
      <c r="K68" s="339">
        <v>15000</v>
      </c>
      <c r="L68" s="339">
        <v>49450.931413845356</v>
      </c>
      <c r="M68" s="339">
        <v>22388.353395478145</v>
      </c>
      <c r="N68" s="339">
        <v>7113.3409499924092</v>
      </c>
      <c r="O68" s="339">
        <v>3500</v>
      </c>
      <c r="P68" s="339">
        <v>3500</v>
      </c>
      <c r="Q68" s="339">
        <v>1584.5856618634762</v>
      </c>
      <c r="R68" s="339">
        <v>503.46257619735781</v>
      </c>
    </row>
    <row r="69" spans="3:18" hidden="1" outlineLevel="1" x14ac:dyDescent="0.3">
      <c r="C69" s="307">
        <v>2048</v>
      </c>
      <c r="D69" s="307">
        <v>64</v>
      </c>
      <c r="E69" s="307">
        <v>29</v>
      </c>
      <c r="F69" s="307">
        <v>1</v>
      </c>
      <c r="G69" s="307">
        <v>0.52068955064672595</v>
      </c>
      <c r="H69" s="307">
        <v>0.30259529626383735</v>
      </c>
      <c r="I69" s="307">
        <v>0.970873786407767</v>
      </c>
      <c r="J69" s="307">
        <v>3.6723745195863975</v>
      </c>
      <c r="K69" s="339">
        <v>15000</v>
      </c>
      <c r="L69" s="339">
        <v>53481.18232407375</v>
      </c>
      <c r="M69" s="339">
        <v>27847.092792377585</v>
      </c>
      <c r="N69" s="339">
        <v>8426.399293596065</v>
      </c>
      <c r="O69" s="339">
        <v>3500</v>
      </c>
      <c r="P69" s="339">
        <v>3500</v>
      </c>
      <c r="Q69" s="339">
        <v>1822.4134272635408</v>
      </c>
      <c r="R69" s="339">
        <v>551.45373093800629</v>
      </c>
    </row>
    <row r="70" spans="3:18" hidden="1" outlineLevel="1" x14ac:dyDescent="0.3">
      <c r="C70" s="307">
        <v>2049</v>
      </c>
      <c r="D70" s="307">
        <v>65</v>
      </c>
      <c r="E70" s="307">
        <v>30</v>
      </c>
      <c r="F70" s="307">
        <v>1</v>
      </c>
      <c r="G70" s="307">
        <v>0.79766257984514588</v>
      </c>
      <c r="H70" s="307">
        <v>0.28818599644174986</v>
      </c>
      <c r="I70" s="307">
        <v>1</v>
      </c>
      <c r="J70" s="307">
        <v>3.8559932455657173</v>
      </c>
      <c r="K70" s="339">
        <v>2100</v>
      </c>
      <c r="L70" s="339">
        <v>8097.5858156880067</v>
      </c>
      <c r="M70" s="339">
        <v>6459.1411922591551</v>
      </c>
      <c r="N70" s="339">
        <v>1861.4340406491567</v>
      </c>
      <c r="O70" s="339">
        <v>1000</v>
      </c>
      <c r="P70" s="339">
        <v>1000</v>
      </c>
      <c r="Q70" s="339">
        <v>797.66257984514584</v>
      </c>
      <c r="R70" s="339">
        <v>229.87518539697021</v>
      </c>
    </row>
    <row r="71" spans="3:18" hidden="1" outlineLevel="1" x14ac:dyDescent="0.3">
      <c r="C71" s="307">
        <v>2050</v>
      </c>
      <c r="D71" s="307">
        <v>66</v>
      </c>
      <c r="E71" s="307">
        <v>31</v>
      </c>
      <c r="F71" s="307">
        <v>1</v>
      </c>
      <c r="G71" s="307">
        <v>0.79172098825197978</v>
      </c>
      <c r="H71" s="307">
        <v>0.2744628537540475</v>
      </c>
      <c r="I71" s="307">
        <v>1.0249999999999999</v>
      </c>
      <c r="J71" s="307">
        <v>4.0487929078440033</v>
      </c>
      <c r="K71" s="339">
        <v>2100</v>
      </c>
      <c r="L71" s="339">
        <v>8715.0267341342169</v>
      </c>
      <c r="M71" s="339">
        <v>6899.8695785911659</v>
      </c>
      <c r="N71" s="339">
        <v>1893.7578950708685</v>
      </c>
      <c r="O71" s="339">
        <v>1000</v>
      </c>
      <c r="P71" s="339">
        <v>1000</v>
      </c>
      <c r="Q71" s="339">
        <v>791.72098825197975</v>
      </c>
      <c r="R71" s="339">
        <v>217.29800181261308</v>
      </c>
    </row>
    <row r="72" spans="3:18" hidden="1" outlineLevel="1" x14ac:dyDescent="0.3">
      <c r="C72" s="307">
        <v>2051</v>
      </c>
      <c r="D72" s="307">
        <v>67</v>
      </c>
      <c r="E72" s="307">
        <v>32</v>
      </c>
      <c r="F72" s="307">
        <v>1</v>
      </c>
      <c r="G72" s="307">
        <v>0.78519068500938616</v>
      </c>
      <c r="H72" s="307">
        <v>0.26139319405147382</v>
      </c>
      <c r="I72" s="307">
        <v>1.0506249999999999</v>
      </c>
      <c r="J72" s="307">
        <v>4.2512325532362034</v>
      </c>
      <c r="K72" s="339">
        <v>2100</v>
      </c>
      <c r="L72" s="339">
        <v>9379.5475226119506</v>
      </c>
      <c r="M72" s="339">
        <v>7364.7333443577681</v>
      </c>
      <c r="N72" s="339">
        <v>1925.0911722190699</v>
      </c>
      <c r="O72" s="339">
        <v>1000</v>
      </c>
      <c r="P72" s="339">
        <v>1000</v>
      </c>
      <c r="Q72" s="339">
        <v>785.19068500938613</v>
      </c>
      <c r="R72" s="339">
        <v>205.24350109406814</v>
      </c>
    </row>
    <row r="73" spans="3:18" hidden="1" outlineLevel="1" x14ac:dyDescent="0.3">
      <c r="C73" s="307">
        <v>2052</v>
      </c>
      <c r="D73" s="307">
        <v>68</v>
      </c>
      <c r="E73" s="307">
        <v>33</v>
      </c>
      <c r="F73" s="307">
        <v>1</v>
      </c>
      <c r="G73" s="307">
        <v>0.77796864595838189</v>
      </c>
      <c r="H73" s="307">
        <v>0.24894589909664172</v>
      </c>
      <c r="I73" s="307">
        <v>1.0768906249999999</v>
      </c>
      <c r="J73" s="307">
        <v>4.4637941808980139</v>
      </c>
      <c r="K73" s="339">
        <v>2100</v>
      </c>
      <c r="L73" s="339">
        <v>10094.738021211113</v>
      </c>
      <c r="M73" s="339">
        <v>7853.389669666205</v>
      </c>
      <c r="N73" s="339">
        <v>1955.0691522713316</v>
      </c>
      <c r="O73" s="339">
        <v>1000</v>
      </c>
      <c r="P73" s="339">
        <v>1000</v>
      </c>
      <c r="Q73" s="339">
        <v>777.9686459583819</v>
      </c>
      <c r="R73" s="339">
        <v>193.67210403710632</v>
      </c>
    </row>
    <row r="74" spans="3:18" hidden="1" outlineLevel="1" x14ac:dyDescent="0.3">
      <c r="C74" s="307">
        <v>2053</v>
      </c>
      <c r="D74" s="307">
        <v>69</v>
      </c>
      <c r="E74" s="307">
        <v>34</v>
      </c>
      <c r="F74" s="307">
        <v>1</v>
      </c>
      <c r="G74" s="307">
        <v>0.76995784382714261</v>
      </c>
      <c r="H74" s="307">
        <v>0.23709133247299211</v>
      </c>
      <c r="I74" s="307">
        <v>1.1038128906249998</v>
      </c>
      <c r="J74" s="307">
        <v>4.6869838899429146</v>
      </c>
      <c r="K74" s="339">
        <v>2100</v>
      </c>
      <c r="L74" s="339">
        <v>10864.46179532846</v>
      </c>
      <c r="M74" s="339">
        <v>8365.1775782734676</v>
      </c>
      <c r="N74" s="339">
        <v>1983.3110984060536</v>
      </c>
      <c r="O74" s="339">
        <v>1000</v>
      </c>
      <c r="P74" s="339">
        <v>1000</v>
      </c>
      <c r="Q74" s="339">
        <v>769.9578438271426</v>
      </c>
      <c r="R74" s="339">
        <v>182.5503311410092</v>
      </c>
    </row>
    <row r="75" spans="3:18" hidden="1" outlineLevel="1" x14ac:dyDescent="0.3">
      <c r="C75" s="307">
        <v>2054</v>
      </c>
      <c r="D75" s="307">
        <v>70</v>
      </c>
      <c r="E75" s="307">
        <v>35</v>
      </c>
      <c r="F75" s="307">
        <v>1</v>
      </c>
      <c r="G75" s="307">
        <v>0.76099099939548975</v>
      </c>
      <c r="H75" s="307">
        <v>0.22580126902189723</v>
      </c>
      <c r="I75" s="307">
        <v>1.1314082128906247</v>
      </c>
      <c r="J75" s="307">
        <v>4.9213330844400609</v>
      </c>
      <c r="K75" s="339">
        <v>2100</v>
      </c>
      <c r="L75" s="339">
        <v>11692.877007222254</v>
      </c>
      <c r="M75" s="339">
        <v>8898.1741595346066</v>
      </c>
      <c r="N75" s="339">
        <v>2009.2190172007681</v>
      </c>
      <c r="O75" s="339">
        <v>1000</v>
      </c>
      <c r="P75" s="339">
        <v>1000</v>
      </c>
      <c r="Q75" s="339">
        <v>760.99099939548978</v>
      </c>
      <c r="R75" s="339">
        <v>171.83273337774341</v>
      </c>
    </row>
    <row r="76" spans="3:18" hidden="1" outlineLevel="1" x14ac:dyDescent="0.3">
      <c r="C76" s="307">
        <v>2055</v>
      </c>
      <c r="D76" s="307">
        <v>71</v>
      </c>
      <c r="E76" s="307">
        <v>36</v>
      </c>
      <c r="F76" s="307">
        <v>1</v>
      </c>
      <c r="G76" s="307">
        <v>0.75091190409580877</v>
      </c>
      <c r="H76" s="307">
        <v>0.21504882763990213</v>
      </c>
      <c r="I76" s="307">
        <v>1.1540363771484372</v>
      </c>
      <c r="J76" s="307">
        <v>5.1673997386620645</v>
      </c>
      <c r="K76" s="339">
        <v>2100</v>
      </c>
      <c r="L76" s="339">
        <v>12523.071274735035</v>
      </c>
      <c r="M76" s="339">
        <v>9403.7232960388119</v>
      </c>
      <c r="N76" s="339">
        <v>2022.2596702631829</v>
      </c>
      <c r="O76" s="339">
        <v>1000</v>
      </c>
      <c r="P76" s="339">
        <v>1000</v>
      </c>
      <c r="Q76" s="339">
        <v>750.91190409580872</v>
      </c>
      <c r="R76" s="339">
        <v>161.48272463665029</v>
      </c>
    </row>
    <row r="77" spans="3:18" hidden="1" outlineLevel="1" x14ac:dyDescent="0.3">
      <c r="C77" s="307">
        <v>2056</v>
      </c>
      <c r="D77" s="307">
        <v>72</v>
      </c>
      <c r="E77" s="307">
        <v>37</v>
      </c>
      <c r="F77" s="307">
        <v>1</v>
      </c>
      <c r="G77" s="307">
        <v>0.73954118684067538</v>
      </c>
      <c r="H77" s="307">
        <v>0.20480840727609725</v>
      </c>
      <c r="I77" s="307">
        <v>1.177117104691406</v>
      </c>
      <c r="J77" s="307">
        <v>5.4257697255951678</v>
      </c>
      <c r="K77" s="339">
        <v>2100</v>
      </c>
      <c r="L77" s="339">
        <v>13412.209335241223</v>
      </c>
      <c r="M77" s="339">
        <v>9918.8812099398801</v>
      </c>
      <c r="N77" s="339">
        <v>2031.4702625685952</v>
      </c>
      <c r="O77" s="339">
        <v>1000</v>
      </c>
      <c r="P77" s="339">
        <v>1000</v>
      </c>
      <c r="Q77" s="339">
        <v>739.54118684067544</v>
      </c>
      <c r="R77" s="339">
        <v>151.46425259191338</v>
      </c>
    </row>
    <row r="78" spans="3:18" hidden="1" outlineLevel="1" x14ac:dyDescent="0.3">
      <c r="C78" s="307">
        <v>2057</v>
      </c>
      <c r="D78" s="307">
        <v>73</v>
      </c>
      <c r="E78" s="307">
        <v>38</v>
      </c>
      <c r="F78" s="307">
        <v>1</v>
      </c>
      <c r="G78" s="307">
        <v>0.72671709233030368</v>
      </c>
      <c r="H78" s="307">
        <v>0.19505562597723547</v>
      </c>
      <c r="I78" s="307">
        <v>1.2006594467852341</v>
      </c>
      <c r="J78" s="307">
        <v>5.6970582118749267</v>
      </c>
      <c r="K78" s="339">
        <v>2100</v>
      </c>
      <c r="L78" s="339">
        <v>14364.47619804335</v>
      </c>
      <c r="M78" s="339">
        <v>10438.910375489919</v>
      </c>
      <c r="N78" s="339">
        <v>2036.1681978114443</v>
      </c>
      <c r="O78" s="339">
        <v>1000</v>
      </c>
      <c r="P78" s="339">
        <v>1000</v>
      </c>
      <c r="Q78" s="339">
        <v>726.71709233030367</v>
      </c>
      <c r="R78" s="339">
        <v>141.75025735284382</v>
      </c>
    </row>
    <row r="79" spans="3:18" hidden="1" outlineLevel="1" x14ac:dyDescent="0.3">
      <c r="C79" s="307">
        <v>2058</v>
      </c>
      <c r="D79" s="307">
        <v>74</v>
      </c>
      <c r="E79" s="307">
        <v>39</v>
      </c>
      <c r="F79" s="307">
        <v>1</v>
      </c>
      <c r="G79" s="307">
        <v>0.71233691426354162</v>
      </c>
      <c r="H79" s="307">
        <v>0.18576726283546235</v>
      </c>
      <c r="I79" s="307">
        <v>1.2246726357209388</v>
      </c>
      <c r="J79" s="307">
        <v>5.9819111224686736</v>
      </c>
      <c r="K79" s="339">
        <v>2100</v>
      </c>
      <c r="L79" s="339">
        <v>15384.35400810443</v>
      </c>
      <c r="M79" s="339">
        <v>10958.843262071059</v>
      </c>
      <c r="N79" s="339">
        <v>2035.7943166377902</v>
      </c>
      <c r="O79" s="339">
        <v>1000</v>
      </c>
      <c r="P79" s="339">
        <v>1000</v>
      </c>
      <c r="Q79" s="339">
        <v>712.33691426354164</v>
      </c>
      <c r="R79" s="339">
        <v>132.32887877939754</v>
      </c>
    </row>
    <row r="80" spans="3:18" hidden="1" outlineLevel="1" x14ac:dyDescent="0.3">
      <c r="C80" s="307">
        <v>2059</v>
      </c>
      <c r="D80" s="307">
        <v>75</v>
      </c>
      <c r="E80" s="307">
        <v>40</v>
      </c>
      <c r="F80" s="307">
        <v>1</v>
      </c>
      <c r="G80" s="307">
        <v>0.69628473000971236</v>
      </c>
      <c r="H80" s="307">
        <v>0.17692120270044032</v>
      </c>
      <c r="I80" s="307">
        <v>1.2491660884353575</v>
      </c>
      <c r="J80" s="307">
        <v>6.2810066785921075</v>
      </c>
      <c r="K80" s="339">
        <v>2100</v>
      </c>
      <c r="L80" s="339">
        <v>16476.643142679844</v>
      </c>
      <c r="M80" s="339">
        <v>11472.435022067215</v>
      </c>
      <c r="N80" s="339">
        <v>2029.7170020067842</v>
      </c>
      <c r="O80" s="339">
        <v>1000</v>
      </c>
      <c r="P80" s="339">
        <v>1000</v>
      </c>
      <c r="Q80" s="339">
        <v>696.28473000971235</v>
      </c>
      <c r="R80" s="339">
        <v>123.18753185526968</v>
      </c>
    </row>
    <row r="81" spans="3:18" hidden="1" outlineLevel="1" x14ac:dyDescent="0.3">
      <c r="C81" s="307">
        <v>2060</v>
      </c>
      <c r="D81" s="307">
        <v>76</v>
      </c>
      <c r="E81" s="307">
        <v>41</v>
      </c>
      <c r="F81" s="307">
        <v>1</v>
      </c>
      <c r="G81" s="307">
        <v>0.67847337196075141</v>
      </c>
      <c r="H81" s="307">
        <v>0.16849638352422885</v>
      </c>
      <c r="I81" s="307">
        <v>1.2679035797618876</v>
      </c>
      <c r="J81" s="307">
        <v>6.5950570125217132</v>
      </c>
      <c r="K81" s="339">
        <v>2100</v>
      </c>
      <c r="L81" s="339">
        <v>17559.982429311043</v>
      </c>
      <c r="M81" s="339">
        <v>11913.980490386211</v>
      </c>
      <c r="N81" s="339">
        <v>2007.4626260082953</v>
      </c>
      <c r="O81" s="339">
        <v>1000</v>
      </c>
      <c r="P81" s="339">
        <v>1000</v>
      </c>
      <c r="Q81" s="339">
        <v>678.47337196075136</v>
      </c>
      <c r="R81" s="339">
        <v>114.32030949287554</v>
      </c>
    </row>
    <row r="82" spans="3:18" hidden="1" outlineLevel="1" x14ac:dyDescent="0.3">
      <c r="C82" s="307">
        <v>2061</v>
      </c>
      <c r="D82" s="307">
        <v>77</v>
      </c>
      <c r="E82" s="307">
        <v>42</v>
      </c>
      <c r="F82" s="307">
        <v>1</v>
      </c>
      <c r="G82" s="307">
        <v>0.65884793814485254</v>
      </c>
      <c r="H82" s="307">
        <v>0.16047274621355129</v>
      </c>
      <c r="I82" s="307">
        <v>1.2869221334583159</v>
      </c>
      <c r="J82" s="307">
        <v>6.9248098631477992</v>
      </c>
      <c r="K82" s="339">
        <v>2100</v>
      </c>
      <c r="L82" s="339">
        <v>18714.551274038244</v>
      </c>
      <c r="M82" s="339">
        <v>12330.04352020622</v>
      </c>
      <c r="N82" s="339">
        <v>1978.6359446200952</v>
      </c>
      <c r="O82" s="339">
        <v>1000</v>
      </c>
      <c r="P82" s="339">
        <v>1000</v>
      </c>
      <c r="Q82" s="339">
        <v>658.84793814485249</v>
      </c>
      <c r="R82" s="339">
        <v>105.72713797124045</v>
      </c>
    </row>
    <row r="83" spans="3:18" hidden="1" outlineLevel="1" x14ac:dyDescent="0.3">
      <c r="C83" s="307">
        <v>2062</v>
      </c>
      <c r="D83" s="307">
        <v>78</v>
      </c>
      <c r="E83" s="307">
        <v>43</v>
      </c>
      <c r="F83" s="307">
        <v>1</v>
      </c>
      <c r="G83" s="307">
        <v>0.63738901021444172</v>
      </c>
      <c r="H83" s="307">
        <v>0.15283118687004885</v>
      </c>
      <c r="I83" s="307">
        <v>1.3062259654601904</v>
      </c>
      <c r="J83" s="307">
        <v>7.2710503563051896</v>
      </c>
      <c r="K83" s="339">
        <v>2100</v>
      </c>
      <c r="L83" s="339">
        <v>19945.033020306255</v>
      </c>
      <c r="M83" s="339">
        <v>12712.744855507361</v>
      </c>
      <c r="N83" s="339">
        <v>1942.9038846432975</v>
      </c>
      <c r="O83" s="339">
        <v>1000</v>
      </c>
      <c r="P83" s="339">
        <v>1000</v>
      </c>
      <c r="Q83" s="339">
        <v>637.38901021444167</v>
      </c>
      <c r="R83" s="339">
        <v>97.412918928998806</v>
      </c>
    </row>
    <row r="84" spans="3:18" hidden="1" outlineLevel="1" x14ac:dyDescent="0.3">
      <c r="C84" s="307">
        <v>2063</v>
      </c>
      <c r="D84" s="307">
        <v>79</v>
      </c>
      <c r="E84" s="307">
        <v>44</v>
      </c>
      <c r="F84" s="307">
        <v>1</v>
      </c>
      <c r="G84" s="307">
        <v>0.61414668724683197</v>
      </c>
      <c r="H84" s="307">
        <v>0.14555351130480843</v>
      </c>
      <c r="I84" s="307">
        <v>1.3258193549420931</v>
      </c>
      <c r="J84" s="307">
        <v>7.634602874120449</v>
      </c>
      <c r="K84" s="339">
        <v>2100</v>
      </c>
      <c r="L84" s="339">
        <v>21256.418941391392</v>
      </c>
      <c r="M84" s="339">
        <v>13054.559275586334</v>
      </c>
      <c r="N84" s="339">
        <v>1900.1369410983473</v>
      </c>
      <c r="O84" s="339">
        <v>1000</v>
      </c>
      <c r="P84" s="339">
        <v>1000</v>
      </c>
      <c r="Q84" s="339">
        <v>614.14668724683202</v>
      </c>
      <c r="R84" s="339">
        <v>89.391206784992406</v>
      </c>
    </row>
    <row r="85" spans="3:18" hidden="1" outlineLevel="1" x14ac:dyDescent="0.3">
      <c r="C85" s="307">
        <v>2064</v>
      </c>
      <c r="D85" s="307">
        <v>80</v>
      </c>
      <c r="E85" s="307">
        <v>45</v>
      </c>
      <c r="F85" s="307">
        <v>1</v>
      </c>
      <c r="G85" s="307">
        <v>0.58917743669067546</v>
      </c>
      <c r="H85" s="307">
        <v>0.13862239171886517</v>
      </c>
      <c r="I85" s="307">
        <v>1.3457066452662243</v>
      </c>
      <c r="J85" s="307">
        <v>8.0163330178264722</v>
      </c>
      <c r="K85" s="339">
        <v>2100</v>
      </c>
      <c r="L85" s="339">
        <v>22654.028486787869</v>
      </c>
      <c r="M85" s="339">
        <v>13347.242434563219</v>
      </c>
      <c r="N85" s="339">
        <v>1850.2266691306822</v>
      </c>
      <c r="O85" s="339">
        <v>1000</v>
      </c>
      <c r="P85" s="339">
        <v>1000</v>
      </c>
      <c r="Q85" s="339">
        <v>589.17743669067545</v>
      </c>
      <c r="R85" s="339">
        <v>81.673185420851695</v>
      </c>
    </row>
    <row r="86" spans="3:18" hidden="1" outlineLevel="1" x14ac:dyDescent="0.3">
      <c r="C86" s="307">
        <v>2065</v>
      </c>
      <c r="D86" s="307">
        <v>81</v>
      </c>
      <c r="E86" s="307">
        <v>46</v>
      </c>
      <c r="F86" s="307">
        <v>1</v>
      </c>
      <c r="G86" s="307">
        <v>0.5625186945210614</v>
      </c>
      <c r="H86" s="307">
        <v>0.13202132544653825</v>
      </c>
      <c r="I86" s="307">
        <v>1.3591637117188866</v>
      </c>
      <c r="J86" s="307">
        <v>8.417149668717796</v>
      </c>
      <c r="K86" s="339">
        <v>2100</v>
      </c>
      <c r="L86" s="339">
        <v>24024.597210238542</v>
      </c>
      <c r="M86" s="339">
        <v>13514.285059097718</v>
      </c>
      <c r="N86" s="339">
        <v>1784.1738259644292</v>
      </c>
      <c r="O86" s="339">
        <v>1000</v>
      </c>
      <c r="P86" s="339">
        <v>1000</v>
      </c>
      <c r="Q86" s="339">
        <v>562.51869452106143</v>
      </c>
      <c r="R86" s="339">
        <v>74.264463639126888</v>
      </c>
    </row>
    <row r="87" spans="3:18" hidden="1" outlineLevel="1" x14ac:dyDescent="0.3">
      <c r="C87" s="307">
        <v>2066</v>
      </c>
      <c r="D87" s="307">
        <v>82</v>
      </c>
      <c r="E87" s="307">
        <v>47</v>
      </c>
      <c r="F87" s="307">
        <v>1</v>
      </c>
      <c r="G87" s="307">
        <v>0.534314615711035</v>
      </c>
      <c r="H87" s="307">
        <v>0.12573459566336975</v>
      </c>
      <c r="I87" s="307">
        <v>1.3727553488360755</v>
      </c>
      <c r="J87" s="307">
        <v>8.8380071521536863</v>
      </c>
      <c r="K87" s="339">
        <v>2100</v>
      </c>
      <c r="L87" s="339">
        <v>25478.085341457976</v>
      </c>
      <c r="M87" s="339">
        <v>13613.313378274073</v>
      </c>
      <c r="N87" s="339">
        <v>1711.6644532560326</v>
      </c>
      <c r="O87" s="339">
        <v>1000</v>
      </c>
      <c r="P87" s="339">
        <v>1000</v>
      </c>
      <c r="Q87" s="339">
        <v>534.314615711035</v>
      </c>
      <c r="R87" s="339">
        <v>67.18183216345578</v>
      </c>
    </row>
    <row r="88" spans="3:18" hidden="1" outlineLevel="1" x14ac:dyDescent="0.3">
      <c r="C88" s="307">
        <v>2067</v>
      </c>
      <c r="D88" s="307">
        <v>83</v>
      </c>
      <c r="E88" s="307">
        <v>48</v>
      </c>
      <c r="F88" s="307">
        <v>1</v>
      </c>
      <c r="G88" s="307">
        <v>0.50475262858610526</v>
      </c>
      <c r="H88" s="307">
        <v>0.11974723396511404</v>
      </c>
      <c r="I88" s="307">
        <v>1.3864829023244363</v>
      </c>
      <c r="J88" s="307">
        <v>9.2799075097613706</v>
      </c>
      <c r="K88" s="339">
        <v>2100</v>
      </c>
      <c r="L88" s="339">
        <v>27019.509504616184</v>
      </c>
      <c r="M88" s="339">
        <v>13638.168445562274</v>
      </c>
      <c r="N88" s="339">
        <v>1633.1329477063814</v>
      </c>
      <c r="O88" s="339">
        <v>1000</v>
      </c>
      <c r="P88" s="339">
        <v>1000</v>
      </c>
      <c r="Q88" s="339">
        <v>504.75262858610523</v>
      </c>
      <c r="R88" s="339">
        <v>60.442731109806651</v>
      </c>
    </row>
    <row r="89" spans="3:18" hidden="1" outlineLevel="1" x14ac:dyDescent="0.3">
      <c r="C89" s="307">
        <v>2068</v>
      </c>
      <c r="D89" s="307">
        <v>84</v>
      </c>
      <c r="E89" s="307">
        <v>49</v>
      </c>
      <c r="F89" s="307">
        <v>1</v>
      </c>
      <c r="G89" s="307">
        <v>0.47403099591910092</v>
      </c>
      <c r="H89" s="307">
        <v>0.11404498472868004</v>
      </c>
      <c r="I89" s="307">
        <v>1.4003477313476806</v>
      </c>
      <c r="J89" s="307">
        <v>9.7439028852494403</v>
      </c>
      <c r="K89" s="339">
        <v>2100</v>
      </c>
      <c r="L89" s="339">
        <v>28654.189829645464</v>
      </c>
      <c r="M89" s="339">
        <v>13582.974142201812</v>
      </c>
      <c r="N89" s="339">
        <v>1549.0700786174614</v>
      </c>
      <c r="O89" s="339">
        <v>1000</v>
      </c>
      <c r="P89" s="339">
        <v>1000</v>
      </c>
      <c r="Q89" s="339">
        <v>474.03099591910092</v>
      </c>
      <c r="R89" s="339">
        <v>54.060857690514851</v>
      </c>
    </row>
    <row r="90" spans="3:18" hidden="1" outlineLevel="1" x14ac:dyDescent="0.3">
      <c r="C90" s="307">
        <v>2069</v>
      </c>
      <c r="D90" s="307">
        <v>85</v>
      </c>
      <c r="E90" s="307">
        <v>50</v>
      </c>
      <c r="F90" s="307">
        <v>1</v>
      </c>
      <c r="G90" s="307">
        <v>0.44238966442216721</v>
      </c>
      <c r="H90" s="307">
        <v>0.10861427117017146</v>
      </c>
      <c r="I90" s="307">
        <v>1.4143512086611574</v>
      </c>
      <c r="J90" s="307">
        <v>10.231098029511912</v>
      </c>
      <c r="K90" s="339">
        <v>2100</v>
      </c>
      <c r="L90" s="339">
        <v>30387.768314339013</v>
      </c>
      <c r="M90" s="339">
        <v>13443.234627119002</v>
      </c>
      <c r="N90" s="339">
        <v>1460.1271311941421</v>
      </c>
      <c r="O90" s="339">
        <v>1000</v>
      </c>
      <c r="P90" s="339">
        <v>1000</v>
      </c>
      <c r="Q90" s="339">
        <v>442.38966442216719</v>
      </c>
      <c r="R90" s="339">
        <v>48.049830974430421</v>
      </c>
    </row>
    <row r="91" spans="3:18" hidden="1" outlineLevel="1" x14ac:dyDescent="0.3">
      <c r="C91" s="307">
        <v>2070</v>
      </c>
      <c r="D91" s="307">
        <v>86</v>
      </c>
      <c r="E91" s="307">
        <v>51</v>
      </c>
      <c r="F91" s="307">
        <v>1</v>
      </c>
      <c r="G91" s="307">
        <v>0.41003829342478615</v>
      </c>
      <c r="H91" s="307">
        <v>0.10344216301921091</v>
      </c>
      <c r="I91" s="307">
        <v>1.4214229647044629</v>
      </c>
      <c r="J91" s="307">
        <v>10.742652930987509</v>
      </c>
      <c r="K91" s="339">
        <v>2100</v>
      </c>
      <c r="L91" s="339">
        <v>32066.692513706243</v>
      </c>
      <c r="M91" s="339">
        <v>13148.571874097473</v>
      </c>
      <c r="N91" s="339">
        <v>1360.1167152702023</v>
      </c>
      <c r="O91" s="339">
        <v>1000</v>
      </c>
      <c r="P91" s="339">
        <v>1000</v>
      </c>
      <c r="Q91" s="339">
        <v>410.03829342478616</v>
      </c>
      <c r="R91" s="339">
        <v>42.415247992565767</v>
      </c>
    </row>
    <row r="92" spans="3:18" hidden="1" outlineLevel="1" x14ac:dyDescent="0.3">
      <c r="C92" s="307">
        <v>2071</v>
      </c>
      <c r="D92" s="307">
        <v>87</v>
      </c>
      <c r="E92" s="307">
        <v>52</v>
      </c>
      <c r="F92" s="307">
        <v>1</v>
      </c>
      <c r="G92" s="307">
        <v>0.37719232451930973</v>
      </c>
      <c r="H92" s="307">
        <v>9.851634573258182E-2</v>
      </c>
      <c r="I92" s="307">
        <v>1.4285300795279852</v>
      </c>
      <c r="J92" s="307">
        <v>11.279785577536884</v>
      </c>
      <c r="K92" s="339">
        <v>2100</v>
      </c>
      <c r="L92" s="339">
        <v>33838.377275088511</v>
      </c>
      <c r="M92" s="339">
        <v>12763.576182352021</v>
      </c>
      <c r="N92" s="339">
        <v>1257.4208839647386</v>
      </c>
      <c r="O92" s="339">
        <v>1000</v>
      </c>
      <c r="P92" s="339">
        <v>1000</v>
      </c>
      <c r="Q92" s="339">
        <v>377.19232451930975</v>
      </c>
      <c r="R92" s="339">
        <v>37.159609450020518</v>
      </c>
    </row>
    <row r="93" spans="3:18" hidden="1" outlineLevel="1" x14ac:dyDescent="0.3">
      <c r="C93" s="307">
        <v>2072</v>
      </c>
      <c r="D93" s="307">
        <v>88</v>
      </c>
      <c r="E93" s="307">
        <v>53</v>
      </c>
      <c r="F93" s="307">
        <v>1</v>
      </c>
      <c r="G93" s="307">
        <v>0.34410318346216362</v>
      </c>
      <c r="H93" s="307">
        <v>9.3825091173887445E-2</v>
      </c>
      <c r="I93" s="307">
        <v>1.4356727299256249</v>
      </c>
      <c r="J93" s="307">
        <v>11.843774856413729</v>
      </c>
      <c r="K93" s="339">
        <v>2100</v>
      </c>
      <c r="L93" s="339">
        <v>35707.947619537146</v>
      </c>
      <c r="M93" s="339">
        <v>12287.218450782919</v>
      </c>
      <c r="N93" s="339">
        <v>1152.8493914181795</v>
      </c>
      <c r="O93" s="339">
        <v>1000</v>
      </c>
      <c r="P93" s="339">
        <v>1000</v>
      </c>
      <c r="Q93" s="339">
        <v>344.1031834621636</v>
      </c>
      <c r="R93" s="339">
        <v>32.28551256156242</v>
      </c>
    </row>
    <row r="94" spans="3:18" hidden="1" outlineLevel="1" x14ac:dyDescent="0.3">
      <c r="C94" s="307">
        <v>2073</v>
      </c>
      <c r="D94" s="307">
        <v>89</v>
      </c>
      <c r="E94" s="307">
        <v>54</v>
      </c>
      <c r="F94" s="307">
        <v>1</v>
      </c>
      <c r="G94" s="307">
        <v>0.31092433288219679</v>
      </c>
      <c r="H94" s="307">
        <v>8.9357229689416617E-2</v>
      </c>
      <c r="I94" s="307">
        <v>1.4428510935752528</v>
      </c>
      <c r="J94" s="307">
        <v>12.435963599234416</v>
      </c>
      <c r="K94" s="339">
        <v>2100</v>
      </c>
      <c r="L94" s="339">
        <v>37680.811725516571</v>
      </c>
      <c r="M94" s="339">
        <v>11715.881248215897</v>
      </c>
      <c r="N94" s="339">
        <v>1046.898691710757</v>
      </c>
      <c r="O94" s="339">
        <v>1000</v>
      </c>
      <c r="P94" s="339">
        <v>1000</v>
      </c>
      <c r="Q94" s="339">
        <v>310.92433288219678</v>
      </c>
      <c r="R94" s="339">
        <v>27.783337029383091</v>
      </c>
    </row>
    <row r="95" spans="3:18" hidden="1" outlineLevel="1" x14ac:dyDescent="0.3">
      <c r="C95" s="307">
        <v>2074</v>
      </c>
      <c r="D95" s="307">
        <v>90</v>
      </c>
      <c r="E95" s="307">
        <v>55</v>
      </c>
      <c r="F95" s="307">
        <v>1</v>
      </c>
      <c r="G95" s="307">
        <v>0.27786614903500484</v>
      </c>
      <c r="H95" s="307">
        <v>8.5102123513730102E-2</v>
      </c>
      <c r="I95" s="307">
        <v>1.4500653490431288</v>
      </c>
      <c r="J95" s="307">
        <v>13.057761779196138</v>
      </c>
      <c r="K95" s="339">
        <v>2100</v>
      </c>
      <c r="L95" s="339">
        <v>39762.676573351353</v>
      </c>
      <c r="M95" s="339">
        <v>11048.701814761542</v>
      </c>
      <c r="N95" s="339">
        <v>940.2679865062106</v>
      </c>
      <c r="O95" s="339">
        <v>1000</v>
      </c>
      <c r="P95" s="339">
        <v>1000</v>
      </c>
      <c r="Q95" s="339">
        <v>277.86614903500487</v>
      </c>
      <c r="R95" s="339">
        <v>23.646999335461519</v>
      </c>
    </row>
    <row r="96" spans="3:18" collapsed="1" x14ac:dyDescent="0.3"/>
    <row r="97" spans="3:18" x14ac:dyDescent="0.3">
      <c r="C97" s="123" t="s">
        <v>1204</v>
      </c>
    </row>
    <row r="98" spans="3:18" ht="57.6" x14ac:dyDescent="0.3">
      <c r="C98" s="340" t="s">
        <v>291</v>
      </c>
      <c r="D98" s="340" t="s">
        <v>7</v>
      </c>
      <c r="E98" s="340" t="s">
        <v>1095</v>
      </c>
      <c r="F98" s="340" t="s">
        <v>1201</v>
      </c>
      <c r="G98" s="340" t="s">
        <v>1200</v>
      </c>
      <c r="H98" s="340" t="s">
        <v>1199</v>
      </c>
      <c r="I98" s="340" t="s">
        <v>1198</v>
      </c>
      <c r="J98" s="340" t="s">
        <v>1197</v>
      </c>
      <c r="K98" s="340" t="s">
        <v>1196</v>
      </c>
      <c r="L98" s="340" t="s">
        <v>1195</v>
      </c>
      <c r="M98" s="340" t="s">
        <v>1194</v>
      </c>
      <c r="N98" s="340" t="s">
        <v>1193</v>
      </c>
      <c r="O98" s="340" t="s">
        <v>1192</v>
      </c>
      <c r="P98" s="340" t="s">
        <v>1191</v>
      </c>
      <c r="Q98" s="340" t="s">
        <v>1190</v>
      </c>
      <c r="R98" s="340" t="s">
        <v>1189</v>
      </c>
    </row>
    <row r="99" spans="3:18" hidden="1" outlineLevel="1" x14ac:dyDescent="0.3">
      <c r="C99" s="307">
        <v>2024</v>
      </c>
      <c r="D99" s="307">
        <v>40</v>
      </c>
      <c r="E99" s="307">
        <v>5</v>
      </c>
      <c r="F99" s="307">
        <v>0</v>
      </c>
      <c r="G99" s="307">
        <v>0</v>
      </c>
      <c r="H99" s="307">
        <v>0.97590007294853309</v>
      </c>
      <c r="I99" s="307">
        <v>0.47760556926165926</v>
      </c>
      <c r="J99" s="307">
        <v>1</v>
      </c>
      <c r="K99" s="339">
        <v>15000</v>
      </c>
      <c r="L99" s="339">
        <v>7164.0835389248887</v>
      </c>
      <c r="M99" s="339">
        <v>0</v>
      </c>
      <c r="N99" s="339">
        <v>0</v>
      </c>
      <c r="O99" s="339">
        <v>0.2</v>
      </c>
      <c r="P99" s="339">
        <v>1432.8167077849778</v>
      </c>
      <c r="Q99" s="339">
        <v>0</v>
      </c>
      <c r="R99" s="339">
        <v>0</v>
      </c>
    </row>
    <row r="100" spans="3:18" hidden="1" outlineLevel="1" x14ac:dyDescent="0.3">
      <c r="C100" s="307">
        <v>2025</v>
      </c>
      <c r="D100" s="307">
        <v>41</v>
      </c>
      <c r="E100" s="307">
        <v>6</v>
      </c>
      <c r="F100" s="307">
        <v>0</v>
      </c>
      <c r="G100" s="307">
        <v>0</v>
      </c>
      <c r="H100" s="307">
        <v>0.92942864090336486</v>
      </c>
      <c r="I100" s="307">
        <v>0.49193373633950904</v>
      </c>
      <c r="J100" s="307">
        <v>1.075</v>
      </c>
      <c r="K100" s="339">
        <v>15000</v>
      </c>
      <c r="L100" s="339">
        <v>7932.4314984745833</v>
      </c>
      <c r="M100" s="339">
        <v>0</v>
      </c>
      <c r="N100" s="339">
        <v>0</v>
      </c>
      <c r="O100" s="339">
        <v>0.2</v>
      </c>
      <c r="P100" s="339">
        <v>1586.4862996949169</v>
      </c>
      <c r="Q100" s="339">
        <v>0</v>
      </c>
      <c r="R100" s="339">
        <v>0</v>
      </c>
    </row>
    <row r="101" spans="3:18" hidden="1" outlineLevel="1" x14ac:dyDescent="0.3">
      <c r="C101" s="307">
        <v>2026</v>
      </c>
      <c r="D101" s="307">
        <v>42</v>
      </c>
      <c r="E101" s="307">
        <v>7</v>
      </c>
      <c r="F101" s="307">
        <v>0</v>
      </c>
      <c r="G101" s="307">
        <v>0</v>
      </c>
      <c r="H101" s="307">
        <v>0.88517013419368074</v>
      </c>
      <c r="I101" s="307">
        <v>0.50669174842969433</v>
      </c>
      <c r="J101" s="307">
        <v>1.1529374999999999</v>
      </c>
      <c r="K101" s="339">
        <v>15000</v>
      </c>
      <c r="L101" s="339">
        <v>8762.7587655774114</v>
      </c>
      <c r="M101" s="339">
        <v>0</v>
      </c>
      <c r="N101" s="339">
        <v>0</v>
      </c>
      <c r="O101" s="339">
        <v>0.2</v>
      </c>
      <c r="P101" s="339">
        <v>1752.5517531154824</v>
      </c>
      <c r="Q101" s="339">
        <v>0</v>
      </c>
      <c r="R101" s="339">
        <v>0</v>
      </c>
    </row>
    <row r="102" spans="3:18" hidden="1" outlineLevel="1" x14ac:dyDescent="0.3">
      <c r="C102" s="307">
        <v>2027</v>
      </c>
      <c r="D102" s="307">
        <v>43</v>
      </c>
      <c r="E102" s="307">
        <v>8</v>
      </c>
      <c r="F102" s="307">
        <v>0</v>
      </c>
      <c r="G102" s="307">
        <v>0</v>
      </c>
      <c r="H102" s="307">
        <v>0.843019175422553</v>
      </c>
      <c r="I102" s="307">
        <v>0.52189250088258521</v>
      </c>
      <c r="J102" s="307">
        <v>1.233643125</v>
      </c>
      <c r="K102" s="339">
        <v>15000</v>
      </c>
      <c r="L102" s="339">
        <v>9657.4364355428643</v>
      </c>
      <c r="M102" s="339">
        <v>0</v>
      </c>
      <c r="N102" s="339">
        <v>0</v>
      </c>
      <c r="O102" s="339">
        <v>0.2</v>
      </c>
      <c r="P102" s="339">
        <v>1931.4872871085729</v>
      </c>
      <c r="Q102" s="339">
        <v>0</v>
      </c>
      <c r="R102" s="339">
        <v>0</v>
      </c>
    </row>
    <row r="103" spans="3:18" hidden="1" outlineLevel="1" x14ac:dyDescent="0.3">
      <c r="C103" s="307">
        <v>2028</v>
      </c>
      <c r="D103" s="307">
        <v>44</v>
      </c>
      <c r="E103" s="307">
        <v>9</v>
      </c>
      <c r="F103" s="307">
        <v>0</v>
      </c>
      <c r="G103" s="307">
        <v>0</v>
      </c>
      <c r="H103" s="307">
        <v>0.8028754051643362</v>
      </c>
      <c r="I103" s="307">
        <v>0.53754927590906276</v>
      </c>
      <c r="J103" s="307">
        <v>1.3169140359374998</v>
      </c>
      <c r="K103" s="339">
        <v>15000</v>
      </c>
      <c r="L103" s="339">
        <v>10618.592796790266</v>
      </c>
      <c r="M103" s="339">
        <v>0</v>
      </c>
      <c r="N103" s="339">
        <v>0</v>
      </c>
      <c r="O103" s="339">
        <v>0.2</v>
      </c>
      <c r="P103" s="339">
        <v>2123.7185593580534</v>
      </c>
      <c r="Q103" s="339">
        <v>0</v>
      </c>
      <c r="R103" s="339">
        <v>0</v>
      </c>
    </row>
    <row r="104" spans="3:18" hidden="1" outlineLevel="1" x14ac:dyDescent="0.3">
      <c r="C104" s="307">
        <v>2029</v>
      </c>
      <c r="D104" s="307">
        <v>45</v>
      </c>
      <c r="E104" s="307">
        <v>10</v>
      </c>
      <c r="F104" s="307">
        <v>0</v>
      </c>
      <c r="G104" s="307">
        <v>0</v>
      </c>
      <c r="H104" s="307">
        <v>0.7646432430136535</v>
      </c>
      <c r="I104" s="307">
        <v>0.55367575418633463</v>
      </c>
      <c r="J104" s="307">
        <v>1.4025134482734372</v>
      </c>
      <c r="K104" s="339">
        <v>15000</v>
      </c>
      <c r="L104" s="339">
        <v>11648.065368439082</v>
      </c>
      <c r="M104" s="339">
        <v>0</v>
      </c>
      <c r="N104" s="339">
        <v>0</v>
      </c>
      <c r="O104" s="339">
        <v>0.2</v>
      </c>
      <c r="P104" s="339">
        <v>2329.6130736878163</v>
      </c>
      <c r="Q104" s="339">
        <v>0</v>
      </c>
      <c r="R104" s="339">
        <v>0</v>
      </c>
    </row>
    <row r="105" spans="3:18" hidden="1" outlineLevel="1" x14ac:dyDescent="0.3">
      <c r="C105" s="307">
        <v>2030</v>
      </c>
      <c r="D105" s="307">
        <v>46</v>
      </c>
      <c r="E105" s="307">
        <v>11</v>
      </c>
      <c r="F105" s="307">
        <v>0</v>
      </c>
      <c r="G105" s="307">
        <v>0</v>
      </c>
      <c r="H105" s="307">
        <v>0.72823166001300332</v>
      </c>
      <c r="I105" s="307">
        <v>0.57028602681192464</v>
      </c>
      <c r="J105" s="307">
        <v>1.4901705387905271</v>
      </c>
      <c r="K105" s="339">
        <v>15000</v>
      </c>
      <c r="L105" s="339">
        <v>12747.351537585522</v>
      </c>
      <c r="M105" s="339">
        <v>0</v>
      </c>
      <c r="N105" s="339">
        <v>0</v>
      </c>
      <c r="O105" s="339">
        <v>0.2</v>
      </c>
      <c r="P105" s="339">
        <v>2549.4703075171046</v>
      </c>
      <c r="Q105" s="339">
        <v>0</v>
      </c>
      <c r="R105" s="339">
        <v>0</v>
      </c>
    </row>
    <row r="106" spans="3:18" hidden="1" outlineLevel="1" x14ac:dyDescent="0.3">
      <c r="C106" s="307">
        <v>2031</v>
      </c>
      <c r="D106" s="307">
        <v>47</v>
      </c>
      <c r="E106" s="307">
        <v>12</v>
      </c>
      <c r="F106" s="307">
        <v>0</v>
      </c>
      <c r="G106" s="307">
        <v>0</v>
      </c>
      <c r="H106" s="307">
        <v>0.69355396191714602</v>
      </c>
      <c r="I106" s="307">
        <v>0.58739460761628237</v>
      </c>
      <c r="J106" s="307">
        <v>1.5795807711179588</v>
      </c>
      <c r="K106" s="339">
        <v>15000</v>
      </c>
      <c r="L106" s="339">
        <v>13917.558408735873</v>
      </c>
      <c r="M106" s="339">
        <v>0</v>
      </c>
      <c r="N106" s="339">
        <v>0</v>
      </c>
      <c r="O106" s="339">
        <v>0.2</v>
      </c>
      <c r="P106" s="339">
        <v>2783.5116817471749</v>
      </c>
      <c r="Q106" s="339">
        <v>0</v>
      </c>
      <c r="R106" s="339">
        <v>0</v>
      </c>
    </row>
    <row r="107" spans="3:18" hidden="1" outlineLevel="1" x14ac:dyDescent="0.3">
      <c r="C107" s="307">
        <v>2032</v>
      </c>
      <c r="D107" s="307">
        <v>48</v>
      </c>
      <c r="E107" s="307">
        <v>13</v>
      </c>
      <c r="F107" s="307">
        <v>0</v>
      </c>
      <c r="G107" s="307">
        <v>0</v>
      </c>
      <c r="H107" s="307">
        <v>0.66052758277823431</v>
      </c>
      <c r="I107" s="307">
        <v>0.60501644584477088</v>
      </c>
      <c r="J107" s="307">
        <v>1.6704066654572411</v>
      </c>
      <c r="K107" s="339">
        <v>15000</v>
      </c>
      <c r="L107" s="339">
        <v>15159.352557755328</v>
      </c>
      <c r="M107" s="339">
        <v>0</v>
      </c>
      <c r="N107" s="339">
        <v>0</v>
      </c>
      <c r="O107" s="339">
        <v>0.2</v>
      </c>
      <c r="P107" s="339">
        <v>3031.8705115510656</v>
      </c>
      <c r="Q107" s="339">
        <v>0</v>
      </c>
      <c r="R107" s="339">
        <v>0</v>
      </c>
    </row>
    <row r="108" spans="3:18" hidden="1" outlineLevel="1" x14ac:dyDescent="0.3">
      <c r="C108" s="307">
        <v>2033</v>
      </c>
      <c r="D108" s="307">
        <v>49</v>
      </c>
      <c r="E108" s="307">
        <v>14</v>
      </c>
      <c r="F108" s="307">
        <v>0</v>
      </c>
      <c r="G108" s="307">
        <v>0</v>
      </c>
      <c r="H108" s="307">
        <v>0.62907388836022315</v>
      </c>
      <c r="I108" s="307">
        <v>0.62316693922011401</v>
      </c>
      <c r="J108" s="307">
        <v>1.7622790320573893</v>
      </c>
      <c r="K108" s="339">
        <v>15000</v>
      </c>
      <c r="L108" s="339">
        <v>16472.910456884827</v>
      </c>
      <c r="M108" s="339">
        <v>0</v>
      </c>
      <c r="N108" s="339">
        <v>0</v>
      </c>
      <c r="O108" s="339">
        <v>0.2</v>
      </c>
      <c r="P108" s="339">
        <v>3294.5820913769658</v>
      </c>
      <c r="Q108" s="339">
        <v>0</v>
      </c>
      <c r="R108" s="339">
        <v>0</v>
      </c>
    </row>
    <row r="109" spans="3:18" hidden="1" outlineLevel="1" x14ac:dyDescent="0.3">
      <c r="C109" s="307">
        <v>2034</v>
      </c>
      <c r="D109" s="307">
        <v>50</v>
      </c>
      <c r="E109" s="307">
        <v>15</v>
      </c>
      <c r="F109" s="307">
        <v>0</v>
      </c>
      <c r="G109" s="307">
        <v>0</v>
      </c>
      <c r="H109" s="307">
        <v>0.59911798891449819</v>
      </c>
      <c r="I109" s="307">
        <v>0.64186194739671742</v>
      </c>
      <c r="J109" s="307">
        <v>1.8547986812404023</v>
      </c>
      <c r="K109" s="339">
        <v>15000</v>
      </c>
      <c r="L109" s="339">
        <v>17857.870403547418</v>
      </c>
      <c r="M109" s="339">
        <v>0</v>
      </c>
      <c r="N109" s="339">
        <v>0</v>
      </c>
      <c r="O109" s="339">
        <v>0.2</v>
      </c>
      <c r="P109" s="339">
        <v>3571.574080709484</v>
      </c>
      <c r="Q109" s="339">
        <v>0</v>
      </c>
      <c r="R109" s="339">
        <v>0</v>
      </c>
    </row>
    <row r="110" spans="3:18" hidden="1" outlineLevel="1" x14ac:dyDescent="0.3">
      <c r="C110" s="307">
        <v>2035</v>
      </c>
      <c r="D110" s="307">
        <v>51</v>
      </c>
      <c r="E110" s="307">
        <v>16</v>
      </c>
      <c r="F110" s="307">
        <v>0</v>
      </c>
      <c r="G110" s="307">
        <v>0</v>
      </c>
      <c r="H110" s="307">
        <v>0.57058856087095067</v>
      </c>
      <c r="I110" s="307">
        <v>0.66111780581861901</v>
      </c>
      <c r="J110" s="307">
        <v>1.9475386153024226</v>
      </c>
      <c r="K110" s="339">
        <v>15000</v>
      </c>
      <c r="L110" s="339">
        <v>19313.286841436537</v>
      </c>
      <c r="M110" s="339">
        <v>0</v>
      </c>
      <c r="N110" s="339">
        <v>0</v>
      </c>
      <c r="O110" s="339">
        <v>0.2</v>
      </c>
      <c r="P110" s="339">
        <v>3862.6573682873077</v>
      </c>
      <c r="Q110" s="339">
        <v>0</v>
      </c>
      <c r="R110" s="339">
        <v>0</v>
      </c>
    </row>
    <row r="111" spans="3:18" hidden="1" outlineLevel="1" x14ac:dyDescent="0.3">
      <c r="C111" s="307">
        <v>2036</v>
      </c>
      <c r="D111" s="307">
        <v>52</v>
      </c>
      <c r="E111" s="307">
        <v>17</v>
      </c>
      <c r="F111" s="307">
        <v>0</v>
      </c>
      <c r="G111" s="307">
        <v>0</v>
      </c>
      <c r="H111" s="307">
        <v>0.54341767701995303</v>
      </c>
      <c r="I111" s="307">
        <v>0.68095133999317758</v>
      </c>
      <c r="J111" s="307">
        <v>2.0449155460675437</v>
      </c>
      <c r="K111" s="339">
        <v>15000</v>
      </c>
      <c r="L111" s="339">
        <v>20887.319719013616</v>
      </c>
      <c r="M111" s="339">
        <v>0</v>
      </c>
      <c r="N111" s="339">
        <v>0</v>
      </c>
      <c r="O111" s="339">
        <v>0.2</v>
      </c>
      <c r="P111" s="339">
        <v>4177.4639438027234</v>
      </c>
      <c r="Q111" s="339">
        <v>0</v>
      </c>
      <c r="R111" s="339">
        <v>0</v>
      </c>
    </row>
    <row r="112" spans="3:18" hidden="1" outlineLevel="1" x14ac:dyDescent="0.3">
      <c r="C112" s="307">
        <v>2037</v>
      </c>
      <c r="D112" s="307">
        <v>53</v>
      </c>
      <c r="E112" s="307">
        <v>18</v>
      </c>
      <c r="F112" s="307">
        <v>0</v>
      </c>
      <c r="G112" s="307">
        <v>0</v>
      </c>
      <c r="H112" s="307">
        <v>0.51754064478090767</v>
      </c>
      <c r="I112" s="307">
        <v>0.70137988019297293</v>
      </c>
      <c r="J112" s="307">
        <v>2.1471613233709208</v>
      </c>
      <c r="K112" s="339">
        <v>15000</v>
      </c>
      <c r="L112" s="339">
        <v>22589.636276113226</v>
      </c>
      <c r="M112" s="339">
        <v>0</v>
      </c>
      <c r="N112" s="339">
        <v>0</v>
      </c>
      <c r="O112" s="339">
        <v>0.2</v>
      </c>
      <c r="P112" s="339">
        <v>4517.9272552226457</v>
      </c>
      <c r="Q112" s="339">
        <v>0</v>
      </c>
      <c r="R112" s="339">
        <v>0</v>
      </c>
    </row>
    <row r="113" spans="3:18" hidden="1" outlineLevel="1" x14ac:dyDescent="0.3">
      <c r="C113" s="307">
        <v>2038</v>
      </c>
      <c r="D113" s="307">
        <v>54</v>
      </c>
      <c r="E113" s="307">
        <v>19</v>
      </c>
      <c r="F113" s="307">
        <v>0</v>
      </c>
      <c r="G113" s="307">
        <v>0</v>
      </c>
      <c r="H113" s="307">
        <v>0.49289585217229298</v>
      </c>
      <c r="I113" s="307">
        <v>0.7224212765987621</v>
      </c>
      <c r="J113" s="307">
        <v>2.2545193895394671</v>
      </c>
      <c r="K113" s="339">
        <v>15000</v>
      </c>
      <c r="L113" s="339">
        <v>24430.691632616454</v>
      </c>
      <c r="M113" s="339">
        <v>0</v>
      </c>
      <c r="N113" s="339">
        <v>0</v>
      </c>
      <c r="O113" s="339">
        <v>0.2</v>
      </c>
      <c r="P113" s="339">
        <v>4886.1383265232907</v>
      </c>
      <c r="Q113" s="339">
        <v>0</v>
      </c>
      <c r="R113" s="339">
        <v>0</v>
      </c>
    </row>
    <row r="114" spans="3:18" hidden="1" outlineLevel="1" x14ac:dyDescent="0.3">
      <c r="C114" s="307">
        <v>2039</v>
      </c>
      <c r="D114" s="307">
        <v>55</v>
      </c>
      <c r="E114" s="307">
        <v>20</v>
      </c>
      <c r="F114" s="307">
        <v>1</v>
      </c>
      <c r="G114" s="307">
        <v>8.3657758364132084E-2</v>
      </c>
      <c r="H114" s="307">
        <v>0.46942462111646949</v>
      </c>
      <c r="I114" s="307">
        <v>0.74409391489672494</v>
      </c>
      <c r="J114" s="307">
        <v>2.3672453590164406</v>
      </c>
      <c r="K114" s="339">
        <v>15000</v>
      </c>
      <c r="L114" s="339">
        <v>26421.793000674697</v>
      </c>
      <c r="M114" s="339">
        <v>2210.3879743975604</v>
      </c>
      <c r="N114" s="339">
        <v>1037.6105374019753</v>
      </c>
      <c r="O114" s="339">
        <v>0.2</v>
      </c>
      <c r="P114" s="339">
        <v>5284.3586001349395</v>
      </c>
      <c r="Q114" s="339">
        <v>442.07759487951205</v>
      </c>
      <c r="R114" s="339">
        <v>207.52210748039502</v>
      </c>
    </row>
    <row r="115" spans="3:18" hidden="1" outlineLevel="1" x14ac:dyDescent="0.3">
      <c r="C115" s="307">
        <v>2040</v>
      </c>
      <c r="D115" s="307">
        <v>56</v>
      </c>
      <c r="E115" s="307">
        <v>21</v>
      </c>
      <c r="F115" s="307">
        <v>1</v>
      </c>
      <c r="G115" s="307">
        <v>8.3436081009928664E-2</v>
      </c>
      <c r="H115" s="307">
        <v>0.44707106772997091</v>
      </c>
      <c r="I115" s="307">
        <v>0.76641673234362673</v>
      </c>
      <c r="J115" s="307">
        <v>2.4856076269672629</v>
      </c>
      <c r="K115" s="339">
        <v>15000</v>
      </c>
      <c r="L115" s="339">
        <v>28575.169130229689</v>
      </c>
      <c r="M115" s="339">
        <v>2384.2001264222572</v>
      </c>
      <c r="N115" s="339">
        <v>1065.9068962015301</v>
      </c>
      <c r="O115" s="339">
        <v>0.2</v>
      </c>
      <c r="P115" s="339">
        <v>5715.0338260459384</v>
      </c>
      <c r="Q115" s="339">
        <v>476.84002528445149</v>
      </c>
      <c r="R115" s="339">
        <v>213.18137924030606</v>
      </c>
    </row>
    <row r="116" spans="3:18" hidden="1" outlineLevel="1" x14ac:dyDescent="0.3">
      <c r="C116" s="307">
        <v>2041</v>
      </c>
      <c r="D116" s="307">
        <v>57</v>
      </c>
      <c r="E116" s="307">
        <v>22</v>
      </c>
      <c r="F116" s="307">
        <v>1</v>
      </c>
      <c r="G116" s="307">
        <v>8.3189962117090982E-2</v>
      </c>
      <c r="H116" s="307">
        <v>0.42578196926663892</v>
      </c>
      <c r="I116" s="307">
        <v>0.7894092343139355</v>
      </c>
      <c r="J116" s="307">
        <v>2.6098880083156262</v>
      </c>
      <c r="K116" s="339">
        <v>15000</v>
      </c>
      <c r="L116" s="339">
        <v>30904.045414343407</v>
      </c>
      <c r="M116" s="339">
        <v>2570.9063672840875</v>
      </c>
      <c r="N116" s="339">
        <v>1094.6455758623597</v>
      </c>
      <c r="O116" s="339">
        <v>0.2</v>
      </c>
      <c r="P116" s="339">
        <v>6180.8090828686818</v>
      </c>
      <c r="Q116" s="339">
        <v>514.18127345681751</v>
      </c>
      <c r="R116" s="339">
        <v>218.92911517247194</v>
      </c>
    </row>
    <row r="117" spans="3:18" hidden="1" outlineLevel="1" x14ac:dyDescent="0.3">
      <c r="C117" s="307">
        <v>2042</v>
      </c>
      <c r="D117" s="307">
        <v>58</v>
      </c>
      <c r="E117" s="307">
        <v>23</v>
      </c>
      <c r="F117" s="307">
        <v>1</v>
      </c>
      <c r="G117" s="307">
        <v>8.291961411190274E-2</v>
      </c>
      <c r="H117" s="307">
        <v>0.40550663739679893</v>
      </c>
      <c r="I117" s="307">
        <v>0.81309151134335356</v>
      </c>
      <c r="J117" s="307">
        <v>2.7403824087314077</v>
      </c>
      <c r="K117" s="339">
        <v>15000</v>
      </c>
      <c r="L117" s="339">
        <v>33422.725115612397</v>
      </c>
      <c r="M117" s="339">
        <v>2771.39946915478</v>
      </c>
      <c r="N117" s="339">
        <v>1123.8208796202284</v>
      </c>
      <c r="O117" s="339">
        <v>0.2</v>
      </c>
      <c r="P117" s="339">
        <v>6684.5450231224795</v>
      </c>
      <c r="Q117" s="339">
        <v>554.27989383095598</v>
      </c>
      <c r="R117" s="339">
        <v>224.76417592404567</v>
      </c>
    </row>
    <row r="118" spans="3:18" hidden="1" outlineLevel="1" x14ac:dyDescent="0.3">
      <c r="C118" s="307">
        <v>2043</v>
      </c>
      <c r="D118" s="307">
        <v>59</v>
      </c>
      <c r="E118" s="307">
        <v>24</v>
      </c>
      <c r="F118" s="307">
        <v>1</v>
      </c>
      <c r="G118" s="307">
        <v>8.2621131741777848E-2</v>
      </c>
      <c r="H118" s="307">
        <v>0.38619679752076086</v>
      </c>
      <c r="I118" s="307">
        <v>0.83748425668365423</v>
      </c>
      <c r="J118" s="307">
        <v>2.8774015291679782</v>
      </c>
      <c r="K118" s="339">
        <v>15000</v>
      </c>
      <c r="L118" s="339">
        <v>36146.677212534814</v>
      </c>
      <c r="M118" s="339">
        <v>2986.4793800043581</v>
      </c>
      <c r="N118" s="339">
        <v>1153.3687724194706</v>
      </c>
      <c r="O118" s="339">
        <v>0.2</v>
      </c>
      <c r="P118" s="339">
        <v>7229.3354425069629</v>
      </c>
      <c r="Q118" s="339">
        <v>597.29587600087166</v>
      </c>
      <c r="R118" s="339">
        <v>230.67375448389413</v>
      </c>
    </row>
    <row r="119" spans="3:18" hidden="1" outlineLevel="1" x14ac:dyDescent="0.3">
      <c r="C119" s="307">
        <v>2044</v>
      </c>
      <c r="D119" s="307">
        <v>60</v>
      </c>
      <c r="E119" s="307">
        <v>25</v>
      </c>
      <c r="F119" s="307">
        <v>1</v>
      </c>
      <c r="G119" s="307">
        <v>8.2290678670606812E-2</v>
      </c>
      <c r="H119" s="307">
        <v>0.36780647382929604</v>
      </c>
      <c r="I119" s="307">
        <v>0.86260878438416388</v>
      </c>
      <c r="J119" s="307">
        <v>3.0212716056263771</v>
      </c>
      <c r="K119" s="339">
        <v>15000</v>
      </c>
      <c r="L119" s="339">
        <v>39092.631405356406</v>
      </c>
      <c r="M119" s="339">
        <v>3216.9591693666562</v>
      </c>
      <c r="N119" s="339">
        <v>1183.2184085375709</v>
      </c>
      <c r="O119" s="339">
        <v>0.2</v>
      </c>
      <c r="P119" s="339">
        <v>7818.5262810712811</v>
      </c>
      <c r="Q119" s="339">
        <v>643.39183387333128</v>
      </c>
      <c r="R119" s="339">
        <v>236.64368170751422</v>
      </c>
    </row>
    <row r="120" spans="3:18" hidden="1" outlineLevel="1" x14ac:dyDescent="0.3">
      <c r="C120" s="307">
        <v>2045</v>
      </c>
      <c r="D120" s="307">
        <v>61</v>
      </c>
      <c r="E120" s="307">
        <v>26</v>
      </c>
      <c r="F120" s="307">
        <v>1</v>
      </c>
      <c r="G120" s="307">
        <v>8.1924528444045311E-2</v>
      </c>
      <c r="H120" s="307">
        <v>0.35029187983742477</v>
      </c>
      <c r="I120" s="307">
        <v>0.88848704791568878</v>
      </c>
      <c r="J120" s="307">
        <v>3.1723351859076963</v>
      </c>
      <c r="K120" s="339">
        <v>15000</v>
      </c>
      <c r="L120" s="339">
        <v>42278.680864892951</v>
      </c>
      <c r="M120" s="339">
        <v>3463.6609930926365</v>
      </c>
      <c r="N120" s="339">
        <v>1213.2923203899811</v>
      </c>
      <c r="O120" s="339">
        <v>0.2</v>
      </c>
      <c r="P120" s="339">
        <v>8455.7361729785898</v>
      </c>
      <c r="Q120" s="339">
        <v>692.73219861852738</v>
      </c>
      <c r="R120" s="339">
        <v>242.65846407799626</v>
      </c>
    </row>
    <row r="121" spans="3:18" hidden="1" outlineLevel="1" x14ac:dyDescent="0.3">
      <c r="C121" s="307">
        <v>2046</v>
      </c>
      <c r="D121" s="307">
        <v>62</v>
      </c>
      <c r="E121" s="307">
        <v>27</v>
      </c>
      <c r="F121" s="307">
        <v>1</v>
      </c>
      <c r="G121" s="307">
        <v>0.30155919348843885</v>
      </c>
      <c r="H121" s="307">
        <v>0.33361131413088074</v>
      </c>
      <c r="I121" s="307">
        <v>0.9151416593531595</v>
      </c>
      <c r="J121" s="307">
        <v>3.3309519452030814</v>
      </c>
      <c r="K121" s="339">
        <v>15000</v>
      </c>
      <c r="L121" s="339">
        <v>45724.393355381733</v>
      </c>
      <c r="M121" s="339">
        <v>13788.611182997047</v>
      </c>
      <c r="N121" s="339">
        <v>4600.0366967994032</v>
      </c>
      <c r="O121" s="339">
        <v>0.2</v>
      </c>
      <c r="P121" s="339">
        <v>9144.878671076347</v>
      </c>
      <c r="Q121" s="339">
        <v>2757.7222365994098</v>
      </c>
      <c r="R121" s="339">
        <v>920.00733935988069</v>
      </c>
    </row>
    <row r="122" spans="3:18" hidden="1" outlineLevel="1" x14ac:dyDescent="0.3">
      <c r="C122" s="307">
        <v>2047</v>
      </c>
      <c r="D122" s="307">
        <v>63</v>
      </c>
      <c r="E122" s="307">
        <v>28</v>
      </c>
      <c r="F122" s="307">
        <v>1</v>
      </c>
      <c r="G122" s="307">
        <v>0.45273876053242179</v>
      </c>
      <c r="H122" s="307">
        <v>0.31772506107702925</v>
      </c>
      <c r="I122" s="307">
        <v>0.94259590913375435</v>
      </c>
      <c r="J122" s="307">
        <v>3.4974995424632356</v>
      </c>
      <c r="K122" s="339">
        <v>15000</v>
      </c>
      <c r="L122" s="339">
        <v>49450.931413845356</v>
      </c>
      <c r="M122" s="339">
        <v>22388.353395478145</v>
      </c>
      <c r="N122" s="339">
        <v>7113.3409499924092</v>
      </c>
      <c r="O122" s="339">
        <v>0.2</v>
      </c>
      <c r="P122" s="339">
        <v>9890.1862827690711</v>
      </c>
      <c r="Q122" s="339">
        <v>4477.6706790956296</v>
      </c>
      <c r="R122" s="339">
        <v>1422.6681899984819</v>
      </c>
    </row>
    <row r="123" spans="3:18" hidden="1" outlineLevel="1" x14ac:dyDescent="0.3">
      <c r="C123" s="307">
        <v>2048</v>
      </c>
      <c r="D123" s="307">
        <v>64</v>
      </c>
      <c r="E123" s="307">
        <v>29</v>
      </c>
      <c r="F123" s="307">
        <v>1</v>
      </c>
      <c r="G123" s="307">
        <v>0.52068955064672595</v>
      </c>
      <c r="H123" s="307">
        <v>0.30259529626383735</v>
      </c>
      <c r="I123" s="307">
        <v>0.970873786407767</v>
      </c>
      <c r="J123" s="307">
        <v>3.6723745195863975</v>
      </c>
      <c r="K123" s="339">
        <v>15000</v>
      </c>
      <c r="L123" s="339">
        <v>53481.18232407375</v>
      </c>
      <c r="M123" s="339">
        <v>27847.092792377585</v>
      </c>
      <c r="N123" s="339">
        <v>8426.399293596065</v>
      </c>
      <c r="O123" s="339">
        <v>0.2</v>
      </c>
      <c r="P123" s="339">
        <v>10696.23646481475</v>
      </c>
      <c r="Q123" s="339">
        <v>5569.4185584755169</v>
      </c>
      <c r="R123" s="339">
        <v>1685.2798587192131</v>
      </c>
    </row>
    <row r="124" spans="3:18" hidden="1" outlineLevel="1" x14ac:dyDescent="0.3">
      <c r="C124" s="307">
        <v>2049</v>
      </c>
      <c r="D124" s="307">
        <v>65</v>
      </c>
      <c r="E124" s="307">
        <v>30</v>
      </c>
      <c r="F124" s="307">
        <v>1</v>
      </c>
      <c r="G124" s="307">
        <v>0.79766257984514588</v>
      </c>
      <c r="H124" s="307">
        <v>0.28818599644174986</v>
      </c>
      <c r="I124" s="307">
        <v>1</v>
      </c>
      <c r="J124" s="307">
        <v>3.8559932455657173</v>
      </c>
      <c r="K124" s="339">
        <v>2100</v>
      </c>
      <c r="L124" s="339">
        <v>8097.5858156880067</v>
      </c>
      <c r="M124" s="339">
        <v>6459.1411922591551</v>
      </c>
      <c r="N124" s="339">
        <v>1861.4340406491567</v>
      </c>
      <c r="O124" s="339">
        <v>0.2</v>
      </c>
      <c r="P124" s="339">
        <v>1619.5171631376015</v>
      </c>
      <c r="Q124" s="339">
        <v>1291.8282384518313</v>
      </c>
      <c r="R124" s="339">
        <v>372.28680812983146</v>
      </c>
    </row>
    <row r="125" spans="3:18" hidden="1" outlineLevel="1" x14ac:dyDescent="0.3">
      <c r="C125" s="307">
        <v>2050</v>
      </c>
      <c r="D125" s="307">
        <v>66</v>
      </c>
      <c r="E125" s="307">
        <v>31</v>
      </c>
      <c r="F125" s="307">
        <v>1</v>
      </c>
      <c r="G125" s="307">
        <v>0.79172098825197978</v>
      </c>
      <c r="H125" s="307">
        <v>0.2744628537540475</v>
      </c>
      <c r="I125" s="307">
        <v>1.0249999999999999</v>
      </c>
      <c r="J125" s="307">
        <v>4.0487929078440033</v>
      </c>
      <c r="K125" s="339">
        <v>2100</v>
      </c>
      <c r="L125" s="339">
        <v>8715.0267341342169</v>
      </c>
      <c r="M125" s="339">
        <v>6899.8695785911659</v>
      </c>
      <c r="N125" s="339">
        <v>1893.7578950708685</v>
      </c>
      <c r="O125" s="339">
        <v>0.2</v>
      </c>
      <c r="P125" s="339">
        <v>1743.0053468268434</v>
      </c>
      <c r="Q125" s="339">
        <v>1379.9739157182332</v>
      </c>
      <c r="R125" s="339">
        <v>378.75157901417373</v>
      </c>
    </row>
    <row r="126" spans="3:18" hidden="1" outlineLevel="1" x14ac:dyDescent="0.3">
      <c r="C126" s="307">
        <v>2051</v>
      </c>
      <c r="D126" s="307">
        <v>67</v>
      </c>
      <c r="E126" s="307">
        <v>32</v>
      </c>
      <c r="F126" s="307">
        <v>1</v>
      </c>
      <c r="G126" s="307">
        <v>0.78519068500938616</v>
      </c>
      <c r="H126" s="307">
        <v>0.26139319405147382</v>
      </c>
      <c r="I126" s="307">
        <v>1.0506249999999999</v>
      </c>
      <c r="J126" s="307">
        <v>4.2512325532362034</v>
      </c>
      <c r="K126" s="339">
        <v>2100</v>
      </c>
      <c r="L126" s="339">
        <v>9379.5475226119506</v>
      </c>
      <c r="M126" s="339">
        <v>7364.7333443577681</v>
      </c>
      <c r="N126" s="339">
        <v>1925.0911722190699</v>
      </c>
      <c r="O126" s="339">
        <v>0.2</v>
      </c>
      <c r="P126" s="339">
        <v>1875.9095045223903</v>
      </c>
      <c r="Q126" s="339">
        <v>1472.9466688715538</v>
      </c>
      <c r="R126" s="339">
        <v>385.01823444381404</v>
      </c>
    </row>
    <row r="127" spans="3:18" hidden="1" outlineLevel="1" x14ac:dyDescent="0.3">
      <c r="C127" s="307">
        <v>2052</v>
      </c>
      <c r="D127" s="307">
        <v>68</v>
      </c>
      <c r="E127" s="307">
        <v>33</v>
      </c>
      <c r="F127" s="307">
        <v>1</v>
      </c>
      <c r="G127" s="307">
        <v>0.77796864595838189</v>
      </c>
      <c r="H127" s="307">
        <v>0.24894589909664172</v>
      </c>
      <c r="I127" s="307">
        <v>1.0768906249999999</v>
      </c>
      <c r="J127" s="307">
        <v>4.4637941808980139</v>
      </c>
      <c r="K127" s="339">
        <v>2100</v>
      </c>
      <c r="L127" s="339">
        <v>10094.738021211113</v>
      </c>
      <c r="M127" s="339">
        <v>7853.389669666205</v>
      </c>
      <c r="N127" s="339">
        <v>1955.0691522713316</v>
      </c>
      <c r="O127" s="339">
        <v>0.2</v>
      </c>
      <c r="P127" s="339">
        <v>2018.9476042422227</v>
      </c>
      <c r="Q127" s="339">
        <v>1570.6779339332411</v>
      </c>
      <c r="R127" s="339">
        <v>391.01383045426633</v>
      </c>
    </row>
    <row r="128" spans="3:18" hidden="1" outlineLevel="1" x14ac:dyDescent="0.3">
      <c r="C128" s="307">
        <v>2053</v>
      </c>
      <c r="D128" s="307">
        <v>69</v>
      </c>
      <c r="E128" s="307">
        <v>34</v>
      </c>
      <c r="F128" s="307">
        <v>1</v>
      </c>
      <c r="G128" s="307">
        <v>0.76995784382714261</v>
      </c>
      <c r="H128" s="307">
        <v>0.23709133247299211</v>
      </c>
      <c r="I128" s="307">
        <v>1.1038128906249998</v>
      </c>
      <c r="J128" s="307">
        <v>4.6869838899429146</v>
      </c>
      <c r="K128" s="339">
        <v>2100</v>
      </c>
      <c r="L128" s="339">
        <v>10864.46179532846</v>
      </c>
      <c r="M128" s="339">
        <v>8365.1775782734676</v>
      </c>
      <c r="N128" s="339">
        <v>1983.3110984060536</v>
      </c>
      <c r="O128" s="339">
        <v>0.2</v>
      </c>
      <c r="P128" s="339">
        <v>2172.8923590656918</v>
      </c>
      <c r="Q128" s="339">
        <v>1673.0355156546934</v>
      </c>
      <c r="R128" s="339">
        <v>396.66221968121073</v>
      </c>
    </row>
    <row r="129" spans="3:18" hidden="1" outlineLevel="1" x14ac:dyDescent="0.3">
      <c r="C129" s="307">
        <v>2054</v>
      </c>
      <c r="D129" s="307">
        <v>70</v>
      </c>
      <c r="E129" s="307">
        <v>35</v>
      </c>
      <c r="F129" s="307">
        <v>1</v>
      </c>
      <c r="G129" s="307">
        <v>0.76099099939548975</v>
      </c>
      <c r="H129" s="307">
        <v>0.22580126902189723</v>
      </c>
      <c r="I129" s="307">
        <v>1.1314082128906247</v>
      </c>
      <c r="J129" s="307">
        <v>4.9213330844400609</v>
      </c>
      <c r="K129" s="339">
        <v>2100</v>
      </c>
      <c r="L129" s="339">
        <v>11692.877007222254</v>
      </c>
      <c r="M129" s="339">
        <v>8898.1741595346066</v>
      </c>
      <c r="N129" s="339">
        <v>2009.2190172007681</v>
      </c>
      <c r="O129" s="339">
        <v>0.2</v>
      </c>
      <c r="P129" s="339">
        <v>2338.575401444451</v>
      </c>
      <c r="Q129" s="339">
        <v>1779.6348319069214</v>
      </c>
      <c r="R129" s="339">
        <v>401.84380344015364</v>
      </c>
    </row>
    <row r="130" spans="3:18" hidden="1" outlineLevel="1" x14ac:dyDescent="0.3">
      <c r="C130" s="307">
        <v>2055</v>
      </c>
      <c r="D130" s="307">
        <v>71</v>
      </c>
      <c r="E130" s="307">
        <v>36</v>
      </c>
      <c r="F130" s="307">
        <v>1</v>
      </c>
      <c r="G130" s="307">
        <v>0.75091190409580877</v>
      </c>
      <c r="H130" s="307">
        <v>0.21504882763990213</v>
      </c>
      <c r="I130" s="307">
        <v>1.1540363771484372</v>
      </c>
      <c r="J130" s="307">
        <v>5.1673997386620645</v>
      </c>
      <c r="K130" s="339">
        <v>2100</v>
      </c>
      <c r="L130" s="339">
        <v>12523.071274735035</v>
      </c>
      <c r="M130" s="339">
        <v>9403.7232960388119</v>
      </c>
      <c r="N130" s="339">
        <v>2022.2596702631829</v>
      </c>
      <c r="O130" s="339">
        <v>0.2</v>
      </c>
      <c r="P130" s="339">
        <v>2504.6142549470073</v>
      </c>
      <c r="Q130" s="339">
        <v>1880.7446592077627</v>
      </c>
      <c r="R130" s="339">
        <v>404.4519340526366</v>
      </c>
    </row>
    <row r="131" spans="3:18" hidden="1" outlineLevel="1" x14ac:dyDescent="0.3">
      <c r="C131" s="307">
        <v>2056</v>
      </c>
      <c r="D131" s="307">
        <v>72</v>
      </c>
      <c r="E131" s="307">
        <v>37</v>
      </c>
      <c r="F131" s="307">
        <v>1</v>
      </c>
      <c r="G131" s="307">
        <v>0.73954118684067538</v>
      </c>
      <c r="H131" s="307">
        <v>0.20480840727609725</v>
      </c>
      <c r="I131" s="307">
        <v>1.177117104691406</v>
      </c>
      <c r="J131" s="307">
        <v>5.4257697255951678</v>
      </c>
      <c r="K131" s="339">
        <v>2100</v>
      </c>
      <c r="L131" s="339">
        <v>13412.209335241223</v>
      </c>
      <c r="M131" s="339">
        <v>9918.8812099398801</v>
      </c>
      <c r="N131" s="339">
        <v>2031.4702625685952</v>
      </c>
      <c r="O131" s="339">
        <v>0.2</v>
      </c>
      <c r="P131" s="339">
        <v>2682.4418670482446</v>
      </c>
      <c r="Q131" s="339">
        <v>1983.7762419879759</v>
      </c>
      <c r="R131" s="339">
        <v>406.29405251371907</v>
      </c>
    </row>
    <row r="132" spans="3:18" hidden="1" outlineLevel="1" x14ac:dyDescent="0.3">
      <c r="C132" s="307">
        <v>2057</v>
      </c>
      <c r="D132" s="307">
        <v>73</v>
      </c>
      <c r="E132" s="307">
        <v>38</v>
      </c>
      <c r="F132" s="307">
        <v>1</v>
      </c>
      <c r="G132" s="307">
        <v>0.72671709233030368</v>
      </c>
      <c r="H132" s="307">
        <v>0.19505562597723547</v>
      </c>
      <c r="I132" s="307">
        <v>1.2006594467852341</v>
      </c>
      <c r="J132" s="307">
        <v>5.6970582118749267</v>
      </c>
      <c r="K132" s="339">
        <v>2100</v>
      </c>
      <c r="L132" s="339">
        <v>14364.47619804335</v>
      </c>
      <c r="M132" s="339">
        <v>10438.910375489919</v>
      </c>
      <c r="N132" s="339">
        <v>2036.1681978114443</v>
      </c>
      <c r="O132" s="339">
        <v>0.2</v>
      </c>
      <c r="P132" s="339">
        <v>2872.8952396086702</v>
      </c>
      <c r="Q132" s="339">
        <v>2087.782075097984</v>
      </c>
      <c r="R132" s="339">
        <v>407.23363956228889</v>
      </c>
    </row>
    <row r="133" spans="3:18" hidden="1" outlineLevel="1" x14ac:dyDescent="0.3">
      <c r="C133" s="307">
        <v>2058</v>
      </c>
      <c r="D133" s="307">
        <v>74</v>
      </c>
      <c r="E133" s="307">
        <v>39</v>
      </c>
      <c r="F133" s="307">
        <v>1</v>
      </c>
      <c r="G133" s="307">
        <v>0.71233691426354162</v>
      </c>
      <c r="H133" s="307">
        <v>0.18576726283546235</v>
      </c>
      <c r="I133" s="307">
        <v>1.2246726357209388</v>
      </c>
      <c r="J133" s="307">
        <v>5.9819111224686736</v>
      </c>
      <c r="K133" s="339">
        <v>2100</v>
      </c>
      <c r="L133" s="339">
        <v>15384.35400810443</v>
      </c>
      <c r="M133" s="339">
        <v>10958.843262071059</v>
      </c>
      <c r="N133" s="339">
        <v>2035.7943166377902</v>
      </c>
      <c r="O133" s="339">
        <v>0.2</v>
      </c>
      <c r="P133" s="339">
        <v>3076.8708016208861</v>
      </c>
      <c r="Q133" s="339">
        <v>2191.7686524142118</v>
      </c>
      <c r="R133" s="339">
        <v>407.15886332755804</v>
      </c>
    </row>
    <row r="134" spans="3:18" hidden="1" outlineLevel="1" x14ac:dyDescent="0.3">
      <c r="C134" s="307">
        <v>2059</v>
      </c>
      <c r="D134" s="307">
        <v>75</v>
      </c>
      <c r="E134" s="307">
        <v>40</v>
      </c>
      <c r="F134" s="307">
        <v>1</v>
      </c>
      <c r="G134" s="307">
        <v>0.69628473000971236</v>
      </c>
      <c r="H134" s="307">
        <v>0.17692120270044032</v>
      </c>
      <c r="I134" s="307">
        <v>1.2491660884353575</v>
      </c>
      <c r="J134" s="307">
        <v>6.2810066785921075</v>
      </c>
      <c r="K134" s="339">
        <v>2100</v>
      </c>
      <c r="L134" s="339">
        <v>16476.643142679844</v>
      </c>
      <c r="M134" s="339">
        <v>11472.435022067215</v>
      </c>
      <c r="N134" s="339">
        <v>2029.7170020067842</v>
      </c>
      <c r="O134" s="339">
        <v>0.2</v>
      </c>
      <c r="P134" s="339">
        <v>3295.3286285359691</v>
      </c>
      <c r="Q134" s="339">
        <v>2294.4870044134427</v>
      </c>
      <c r="R134" s="339">
        <v>405.94340040135677</v>
      </c>
    </row>
    <row r="135" spans="3:18" hidden="1" outlineLevel="1" x14ac:dyDescent="0.3">
      <c r="C135" s="307">
        <v>2060</v>
      </c>
      <c r="D135" s="307">
        <v>76</v>
      </c>
      <c r="E135" s="307">
        <v>41</v>
      </c>
      <c r="F135" s="307">
        <v>1</v>
      </c>
      <c r="G135" s="307">
        <v>0.67847337196075141</v>
      </c>
      <c r="H135" s="307">
        <v>0.16849638352422885</v>
      </c>
      <c r="I135" s="307">
        <v>1.2679035797618876</v>
      </c>
      <c r="J135" s="307">
        <v>6.5950570125217132</v>
      </c>
      <c r="K135" s="339">
        <v>2100</v>
      </c>
      <c r="L135" s="339">
        <v>17559.982429311043</v>
      </c>
      <c r="M135" s="339">
        <v>11913.980490386211</v>
      </c>
      <c r="N135" s="339">
        <v>2007.4626260082953</v>
      </c>
      <c r="O135" s="339">
        <v>0.2</v>
      </c>
      <c r="P135" s="339">
        <v>3511.9964858622088</v>
      </c>
      <c r="Q135" s="339">
        <v>2382.7960980772423</v>
      </c>
      <c r="R135" s="339">
        <v>401.49252520165902</v>
      </c>
    </row>
    <row r="136" spans="3:18" hidden="1" outlineLevel="1" x14ac:dyDescent="0.3">
      <c r="C136" s="307">
        <v>2061</v>
      </c>
      <c r="D136" s="307">
        <v>77</v>
      </c>
      <c r="E136" s="307">
        <v>42</v>
      </c>
      <c r="F136" s="307">
        <v>1</v>
      </c>
      <c r="G136" s="307">
        <v>0.65884793814485254</v>
      </c>
      <c r="H136" s="307">
        <v>0.16047274621355129</v>
      </c>
      <c r="I136" s="307">
        <v>1.2869221334583159</v>
      </c>
      <c r="J136" s="307">
        <v>6.9248098631477992</v>
      </c>
      <c r="K136" s="339">
        <v>2100</v>
      </c>
      <c r="L136" s="339">
        <v>18714.551274038244</v>
      </c>
      <c r="M136" s="339">
        <v>12330.04352020622</v>
      </c>
      <c r="N136" s="339">
        <v>1978.6359446200952</v>
      </c>
      <c r="O136" s="339">
        <v>0.2</v>
      </c>
      <c r="P136" s="339">
        <v>3742.9102548076489</v>
      </c>
      <c r="Q136" s="339">
        <v>2466.0087040412441</v>
      </c>
      <c r="R136" s="339">
        <v>395.72718892401906</v>
      </c>
    </row>
    <row r="137" spans="3:18" hidden="1" outlineLevel="1" x14ac:dyDescent="0.3">
      <c r="C137" s="307">
        <v>2062</v>
      </c>
      <c r="D137" s="307">
        <v>78</v>
      </c>
      <c r="E137" s="307">
        <v>43</v>
      </c>
      <c r="F137" s="307">
        <v>1</v>
      </c>
      <c r="G137" s="307">
        <v>0.63738901021444172</v>
      </c>
      <c r="H137" s="307">
        <v>0.15283118687004885</v>
      </c>
      <c r="I137" s="307">
        <v>1.3062259654601904</v>
      </c>
      <c r="J137" s="307">
        <v>7.2710503563051896</v>
      </c>
      <c r="K137" s="339">
        <v>2100</v>
      </c>
      <c r="L137" s="339">
        <v>19945.033020306255</v>
      </c>
      <c r="M137" s="339">
        <v>12712.744855507361</v>
      </c>
      <c r="N137" s="339">
        <v>1942.9038846432975</v>
      </c>
      <c r="O137" s="339">
        <v>0.2</v>
      </c>
      <c r="P137" s="339">
        <v>3989.006604061251</v>
      </c>
      <c r="Q137" s="339">
        <v>2542.548971101472</v>
      </c>
      <c r="R137" s="339">
        <v>388.58077692865947</v>
      </c>
    </row>
    <row r="138" spans="3:18" hidden="1" outlineLevel="1" x14ac:dyDescent="0.3">
      <c r="C138" s="307">
        <v>2063</v>
      </c>
      <c r="D138" s="307">
        <v>79</v>
      </c>
      <c r="E138" s="307">
        <v>44</v>
      </c>
      <c r="F138" s="307">
        <v>1</v>
      </c>
      <c r="G138" s="307">
        <v>0.61414668724683197</v>
      </c>
      <c r="H138" s="307">
        <v>0.14555351130480843</v>
      </c>
      <c r="I138" s="307">
        <v>1.3258193549420931</v>
      </c>
      <c r="J138" s="307">
        <v>7.634602874120449</v>
      </c>
      <c r="K138" s="339">
        <v>2100</v>
      </c>
      <c r="L138" s="339">
        <v>21256.418941391392</v>
      </c>
      <c r="M138" s="339">
        <v>13054.559275586334</v>
      </c>
      <c r="N138" s="339">
        <v>1900.1369410983473</v>
      </c>
      <c r="O138" s="339">
        <v>0.2</v>
      </c>
      <c r="P138" s="339">
        <v>4251.2837882782787</v>
      </c>
      <c r="Q138" s="339">
        <v>2610.9118551172669</v>
      </c>
      <c r="R138" s="339">
        <v>380.02738821966943</v>
      </c>
    </row>
    <row r="139" spans="3:18" hidden="1" outlineLevel="1" x14ac:dyDescent="0.3">
      <c r="C139" s="307">
        <v>2064</v>
      </c>
      <c r="D139" s="307">
        <v>80</v>
      </c>
      <c r="E139" s="307">
        <v>45</v>
      </c>
      <c r="F139" s="307">
        <v>1</v>
      </c>
      <c r="G139" s="307">
        <v>0.58917743669067546</v>
      </c>
      <c r="H139" s="307">
        <v>0.13862239171886517</v>
      </c>
      <c r="I139" s="307">
        <v>1.3457066452662243</v>
      </c>
      <c r="J139" s="307">
        <v>8.0163330178264722</v>
      </c>
      <c r="K139" s="339">
        <v>2100</v>
      </c>
      <c r="L139" s="339">
        <v>22654.028486787869</v>
      </c>
      <c r="M139" s="339">
        <v>13347.242434563219</v>
      </c>
      <c r="N139" s="339">
        <v>1850.2266691306822</v>
      </c>
      <c r="O139" s="339">
        <v>0.2</v>
      </c>
      <c r="P139" s="339">
        <v>4530.805697357574</v>
      </c>
      <c r="Q139" s="339">
        <v>2669.4484869126436</v>
      </c>
      <c r="R139" s="339">
        <v>370.04533382613641</v>
      </c>
    </row>
    <row r="140" spans="3:18" hidden="1" outlineLevel="1" x14ac:dyDescent="0.3">
      <c r="C140" s="307">
        <v>2065</v>
      </c>
      <c r="D140" s="307">
        <v>81</v>
      </c>
      <c r="E140" s="307">
        <v>46</v>
      </c>
      <c r="F140" s="307">
        <v>1</v>
      </c>
      <c r="G140" s="307">
        <v>0.5625186945210614</v>
      </c>
      <c r="H140" s="307">
        <v>0.13202132544653825</v>
      </c>
      <c r="I140" s="307">
        <v>1.3591637117188866</v>
      </c>
      <c r="J140" s="307">
        <v>8.417149668717796</v>
      </c>
      <c r="K140" s="339">
        <v>2100</v>
      </c>
      <c r="L140" s="339">
        <v>24024.597210238542</v>
      </c>
      <c r="M140" s="339">
        <v>13514.285059097718</v>
      </c>
      <c r="N140" s="339">
        <v>1784.1738259644292</v>
      </c>
      <c r="O140" s="339">
        <v>0.2</v>
      </c>
      <c r="P140" s="339">
        <v>4804.9194420477088</v>
      </c>
      <c r="Q140" s="339">
        <v>2702.8570118195439</v>
      </c>
      <c r="R140" s="339">
        <v>356.83476519288587</v>
      </c>
    </row>
    <row r="141" spans="3:18" hidden="1" outlineLevel="1" x14ac:dyDescent="0.3">
      <c r="C141" s="307">
        <v>2066</v>
      </c>
      <c r="D141" s="307">
        <v>82</v>
      </c>
      <c r="E141" s="307">
        <v>47</v>
      </c>
      <c r="F141" s="307">
        <v>1</v>
      </c>
      <c r="G141" s="307">
        <v>0.534314615711035</v>
      </c>
      <c r="H141" s="307">
        <v>0.12573459566336975</v>
      </c>
      <c r="I141" s="307">
        <v>1.3727553488360755</v>
      </c>
      <c r="J141" s="307">
        <v>8.8380071521536863</v>
      </c>
      <c r="K141" s="339">
        <v>2100</v>
      </c>
      <c r="L141" s="339">
        <v>25478.085341457976</v>
      </c>
      <c r="M141" s="339">
        <v>13613.313378274073</v>
      </c>
      <c r="N141" s="339">
        <v>1711.6644532560326</v>
      </c>
      <c r="O141" s="339">
        <v>0.2</v>
      </c>
      <c r="P141" s="339">
        <v>5095.6170682915954</v>
      </c>
      <c r="Q141" s="339">
        <v>2722.6626756548144</v>
      </c>
      <c r="R141" s="339">
        <v>342.33289065120653</v>
      </c>
    </row>
    <row r="142" spans="3:18" hidden="1" outlineLevel="1" x14ac:dyDescent="0.3">
      <c r="C142" s="307">
        <v>2067</v>
      </c>
      <c r="D142" s="307">
        <v>83</v>
      </c>
      <c r="E142" s="307">
        <v>48</v>
      </c>
      <c r="F142" s="307">
        <v>1</v>
      </c>
      <c r="G142" s="307">
        <v>0.50475262858610526</v>
      </c>
      <c r="H142" s="307">
        <v>0.11974723396511404</v>
      </c>
      <c r="I142" s="307">
        <v>1.3864829023244363</v>
      </c>
      <c r="J142" s="307">
        <v>9.2799075097613706</v>
      </c>
      <c r="K142" s="339">
        <v>2100</v>
      </c>
      <c r="L142" s="339">
        <v>27019.509504616184</v>
      </c>
      <c r="M142" s="339">
        <v>13638.168445562274</v>
      </c>
      <c r="N142" s="339">
        <v>1633.1329477063814</v>
      </c>
      <c r="O142" s="339">
        <v>0.2</v>
      </c>
      <c r="P142" s="339">
        <v>5403.901900923237</v>
      </c>
      <c r="Q142" s="339">
        <v>2727.6336891124547</v>
      </c>
      <c r="R142" s="339">
        <v>326.62658954127625</v>
      </c>
    </row>
    <row r="143" spans="3:18" hidden="1" outlineLevel="1" x14ac:dyDescent="0.3">
      <c r="C143" s="307">
        <v>2068</v>
      </c>
      <c r="D143" s="307">
        <v>84</v>
      </c>
      <c r="E143" s="307">
        <v>49</v>
      </c>
      <c r="F143" s="307">
        <v>1</v>
      </c>
      <c r="G143" s="307">
        <v>0.47403099591910092</v>
      </c>
      <c r="H143" s="307">
        <v>0.11404498472868004</v>
      </c>
      <c r="I143" s="307">
        <v>1.4003477313476806</v>
      </c>
      <c r="J143" s="307">
        <v>9.7439028852494403</v>
      </c>
      <c r="K143" s="339">
        <v>2100</v>
      </c>
      <c r="L143" s="339">
        <v>28654.189829645464</v>
      </c>
      <c r="M143" s="339">
        <v>13582.974142201812</v>
      </c>
      <c r="N143" s="339">
        <v>1549.0700786174614</v>
      </c>
      <c r="O143" s="339">
        <v>0.2</v>
      </c>
      <c r="P143" s="339">
        <v>5730.8379659290931</v>
      </c>
      <c r="Q143" s="339">
        <v>2716.5948284403626</v>
      </c>
      <c r="R143" s="339">
        <v>309.81401572349233</v>
      </c>
    </row>
    <row r="144" spans="3:18" hidden="1" outlineLevel="1" x14ac:dyDescent="0.3">
      <c r="C144" s="307">
        <v>2069</v>
      </c>
      <c r="D144" s="307">
        <v>85</v>
      </c>
      <c r="E144" s="307">
        <v>50</v>
      </c>
      <c r="F144" s="307">
        <v>1</v>
      </c>
      <c r="G144" s="307">
        <v>0.44238966442216721</v>
      </c>
      <c r="H144" s="307">
        <v>0.10861427117017146</v>
      </c>
      <c r="I144" s="307">
        <v>1.4143512086611574</v>
      </c>
      <c r="J144" s="307">
        <v>10.231098029511912</v>
      </c>
      <c r="K144" s="339">
        <v>2100</v>
      </c>
      <c r="L144" s="339">
        <v>30387.768314339013</v>
      </c>
      <c r="M144" s="339">
        <v>13443.234627119002</v>
      </c>
      <c r="N144" s="339">
        <v>1460.1271311941421</v>
      </c>
      <c r="O144" s="339">
        <v>0.2</v>
      </c>
      <c r="P144" s="339">
        <v>6077.5536628678028</v>
      </c>
      <c r="Q144" s="339">
        <v>2688.6469254238004</v>
      </c>
      <c r="R144" s="339">
        <v>292.0254262388284</v>
      </c>
    </row>
    <row r="145" spans="3:18" hidden="1" outlineLevel="1" x14ac:dyDescent="0.3">
      <c r="C145" s="307">
        <v>2070</v>
      </c>
      <c r="D145" s="307">
        <v>86</v>
      </c>
      <c r="E145" s="307">
        <v>51</v>
      </c>
      <c r="F145" s="307">
        <v>1</v>
      </c>
      <c r="G145" s="307">
        <v>0.41003829342478615</v>
      </c>
      <c r="H145" s="307">
        <v>0.10344216301921091</v>
      </c>
      <c r="I145" s="307">
        <v>1.4214229647044629</v>
      </c>
      <c r="J145" s="307">
        <v>10.742652930987509</v>
      </c>
      <c r="K145" s="339">
        <v>2100</v>
      </c>
      <c r="L145" s="339">
        <v>32066.692513706243</v>
      </c>
      <c r="M145" s="339">
        <v>13148.571874097473</v>
      </c>
      <c r="N145" s="339">
        <v>1360.1167152702023</v>
      </c>
      <c r="O145" s="339">
        <v>0.2</v>
      </c>
      <c r="P145" s="339">
        <v>6413.3385027412487</v>
      </c>
      <c r="Q145" s="339">
        <v>2629.7143748194949</v>
      </c>
      <c r="R145" s="339">
        <v>272.02334305404048</v>
      </c>
    </row>
    <row r="146" spans="3:18" hidden="1" outlineLevel="1" x14ac:dyDescent="0.3">
      <c r="C146" s="307">
        <v>2071</v>
      </c>
      <c r="D146" s="307">
        <v>87</v>
      </c>
      <c r="E146" s="307">
        <v>52</v>
      </c>
      <c r="F146" s="307">
        <v>1</v>
      </c>
      <c r="G146" s="307">
        <v>0.37719232451930973</v>
      </c>
      <c r="H146" s="307">
        <v>9.851634573258182E-2</v>
      </c>
      <c r="I146" s="307">
        <v>1.4285300795279852</v>
      </c>
      <c r="J146" s="307">
        <v>11.279785577536884</v>
      </c>
      <c r="K146" s="339">
        <v>2100</v>
      </c>
      <c r="L146" s="339">
        <v>33838.377275088511</v>
      </c>
      <c r="M146" s="339">
        <v>12763.576182352021</v>
      </c>
      <c r="N146" s="339">
        <v>1257.4208839647386</v>
      </c>
      <c r="O146" s="339">
        <v>0.2</v>
      </c>
      <c r="P146" s="339">
        <v>6767.6754550177029</v>
      </c>
      <c r="Q146" s="339">
        <v>2552.7152364704048</v>
      </c>
      <c r="R146" s="339">
        <v>251.48417679294775</v>
      </c>
    </row>
    <row r="147" spans="3:18" hidden="1" outlineLevel="1" x14ac:dyDescent="0.3">
      <c r="C147" s="307">
        <v>2072</v>
      </c>
      <c r="D147" s="307">
        <v>88</v>
      </c>
      <c r="E147" s="307">
        <v>53</v>
      </c>
      <c r="F147" s="307">
        <v>1</v>
      </c>
      <c r="G147" s="307">
        <v>0.34410318346216362</v>
      </c>
      <c r="H147" s="307">
        <v>9.3825091173887445E-2</v>
      </c>
      <c r="I147" s="307">
        <v>1.4356727299256249</v>
      </c>
      <c r="J147" s="307">
        <v>11.843774856413729</v>
      </c>
      <c r="K147" s="339">
        <v>2100</v>
      </c>
      <c r="L147" s="339">
        <v>35707.947619537146</v>
      </c>
      <c r="M147" s="339">
        <v>12287.218450782919</v>
      </c>
      <c r="N147" s="339">
        <v>1152.8493914181795</v>
      </c>
      <c r="O147" s="339">
        <v>0.2</v>
      </c>
      <c r="P147" s="339">
        <v>7141.5895239074298</v>
      </c>
      <c r="Q147" s="339">
        <v>2457.4436901565841</v>
      </c>
      <c r="R147" s="339">
        <v>230.56987828363592</v>
      </c>
    </row>
    <row r="148" spans="3:18" hidden="1" outlineLevel="1" x14ac:dyDescent="0.3">
      <c r="C148" s="307">
        <v>2073</v>
      </c>
      <c r="D148" s="307">
        <v>89</v>
      </c>
      <c r="E148" s="307">
        <v>54</v>
      </c>
      <c r="F148" s="307">
        <v>1</v>
      </c>
      <c r="G148" s="307">
        <v>0.31092433288219679</v>
      </c>
      <c r="H148" s="307">
        <v>8.9357229689416617E-2</v>
      </c>
      <c r="I148" s="307">
        <v>1.4428510935752528</v>
      </c>
      <c r="J148" s="307">
        <v>12.435963599234416</v>
      </c>
      <c r="K148" s="339">
        <v>2100</v>
      </c>
      <c r="L148" s="339">
        <v>37680.811725516571</v>
      </c>
      <c r="M148" s="339">
        <v>11715.881248215897</v>
      </c>
      <c r="N148" s="339">
        <v>1046.898691710757</v>
      </c>
      <c r="O148" s="339">
        <v>0.2</v>
      </c>
      <c r="P148" s="339">
        <v>7536.1623451033147</v>
      </c>
      <c r="Q148" s="339">
        <v>2343.1762496431797</v>
      </c>
      <c r="R148" s="339">
        <v>209.37973834215143</v>
      </c>
    </row>
    <row r="149" spans="3:18" hidden="1" outlineLevel="1" x14ac:dyDescent="0.3">
      <c r="C149" s="307">
        <v>2074</v>
      </c>
      <c r="D149" s="307">
        <v>90</v>
      </c>
      <c r="E149" s="307">
        <v>55</v>
      </c>
      <c r="F149" s="307">
        <v>1</v>
      </c>
      <c r="G149" s="307">
        <v>0.27786614903500484</v>
      </c>
      <c r="H149" s="307">
        <v>8.5102123513730102E-2</v>
      </c>
      <c r="I149" s="307">
        <v>1.4500653490431288</v>
      </c>
      <c r="J149" s="307">
        <v>13.057761779196138</v>
      </c>
      <c r="K149" s="339">
        <v>2100</v>
      </c>
      <c r="L149" s="339">
        <v>39762.676573351353</v>
      </c>
      <c r="M149" s="339">
        <v>11048.701814761542</v>
      </c>
      <c r="N149" s="339">
        <v>940.2679865062106</v>
      </c>
      <c r="O149" s="339">
        <v>0.2</v>
      </c>
      <c r="P149" s="339">
        <v>7952.535314670271</v>
      </c>
      <c r="Q149" s="339">
        <v>2209.7403629523087</v>
      </c>
      <c r="R149" s="339">
        <v>188.05359730124215</v>
      </c>
    </row>
    <row r="150" spans="3:18" collapsed="1" x14ac:dyDescent="0.3"/>
    <row r="151" spans="3:18" x14ac:dyDescent="0.3">
      <c r="C151" s="123" t="s">
        <v>1203</v>
      </c>
    </row>
    <row r="152" spans="3:18" ht="57.6" x14ac:dyDescent="0.3">
      <c r="C152" s="340" t="s">
        <v>291</v>
      </c>
      <c r="D152" s="340" t="s">
        <v>7</v>
      </c>
      <c r="E152" s="340" t="s">
        <v>1095</v>
      </c>
      <c r="F152" s="340" t="s">
        <v>1201</v>
      </c>
      <c r="G152" s="340" t="s">
        <v>1200</v>
      </c>
      <c r="H152" s="340" t="s">
        <v>1199</v>
      </c>
      <c r="I152" s="340" t="s">
        <v>1198</v>
      </c>
      <c r="J152" s="340" t="s">
        <v>1197</v>
      </c>
      <c r="K152" s="340" t="s">
        <v>1196</v>
      </c>
      <c r="L152" s="340" t="s">
        <v>1195</v>
      </c>
      <c r="M152" s="340" t="s">
        <v>1194</v>
      </c>
      <c r="N152" s="340" t="s">
        <v>1193</v>
      </c>
      <c r="O152" s="340" t="s">
        <v>1192</v>
      </c>
      <c r="P152" s="340" t="s">
        <v>1191</v>
      </c>
      <c r="Q152" s="340" t="s">
        <v>1190</v>
      </c>
      <c r="R152" s="340" t="s">
        <v>1189</v>
      </c>
    </row>
    <row r="153" spans="3:18" hidden="1" outlineLevel="1" x14ac:dyDescent="0.3">
      <c r="C153" s="307">
        <v>2024</v>
      </c>
      <c r="D153" s="307">
        <v>40</v>
      </c>
      <c r="E153" s="307">
        <v>5</v>
      </c>
      <c r="F153" s="307">
        <v>0</v>
      </c>
      <c r="G153" s="307">
        <v>0</v>
      </c>
      <c r="H153" s="307">
        <v>0.97590007294853309</v>
      </c>
      <c r="I153" s="307">
        <v>0.47760556926165926</v>
      </c>
      <c r="J153" s="307">
        <v>1</v>
      </c>
      <c r="K153" s="339">
        <v>15000</v>
      </c>
      <c r="L153" s="339">
        <v>7164.0835389248887</v>
      </c>
      <c r="M153" s="339">
        <v>0</v>
      </c>
      <c r="N153" s="339">
        <v>0</v>
      </c>
      <c r="O153" s="339">
        <v>3500</v>
      </c>
      <c r="P153" s="339">
        <v>3500</v>
      </c>
      <c r="Q153" s="339">
        <v>0</v>
      </c>
      <c r="R153" s="339">
        <v>0</v>
      </c>
    </row>
    <row r="154" spans="3:18" hidden="1" outlineLevel="1" x14ac:dyDescent="0.3">
      <c r="C154" s="307">
        <v>2025</v>
      </c>
      <c r="D154" s="307">
        <v>41</v>
      </c>
      <c r="E154" s="307">
        <v>6</v>
      </c>
      <c r="F154" s="307">
        <v>0</v>
      </c>
      <c r="G154" s="307">
        <v>0</v>
      </c>
      <c r="H154" s="307">
        <v>0.92942864090336486</v>
      </c>
      <c r="I154" s="307">
        <v>0.49193373633950904</v>
      </c>
      <c r="J154" s="307">
        <v>1.0549999999999999</v>
      </c>
      <c r="K154" s="339">
        <v>15000</v>
      </c>
      <c r="L154" s="339">
        <v>7784.8513775727297</v>
      </c>
      <c r="M154" s="339">
        <v>0</v>
      </c>
      <c r="N154" s="339">
        <v>0</v>
      </c>
      <c r="O154" s="339">
        <v>3500</v>
      </c>
      <c r="P154" s="339">
        <v>3500</v>
      </c>
      <c r="Q154" s="339">
        <v>0</v>
      </c>
      <c r="R154" s="339">
        <v>0</v>
      </c>
    </row>
    <row r="155" spans="3:18" hidden="1" outlineLevel="1" x14ac:dyDescent="0.3">
      <c r="C155" s="307">
        <v>2026</v>
      </c>
      <c r="D155" s="307">
        <v>42</v>
      </c>
      <c r="E155" s="307">
        <v>7</v>
      </c>
      <c r="F155" s="307">
        <v>0</v>
      </c>
      <c r="G155" s="307">
        <v>0</v>
      </c>
      <c r="H155" s="307">
        <v>0.88517013419368074</v>
      </c>
      <c r="I155" s="307">
        <v>0.50669174842969433</v>
      </c>
      <c r="J155" s="307">
        <v>1.1103874999999999</v>
      </c>
      <c r="K155" s="339">
        <v>15000</v>
      </c>
      <c r="L155" s="339">
        <v>8439.3627571421566</v>
      </c>
      <c r="M155" s="339">
        <v>0</v>
      </c>
      <c r="N155" s="339">
        <v>0</v>
      </c>
      <c r="O155" s="339">
        <v>3500</v>
      </c>
      <c r="P155" s="339">
        <v>3500</v>
      </c>
      <c r="Q155" s="339">
        <v>0</v>
      </c>
      <c r="R155" s="339">
        <v>0</v>
      </c>
    </row>
    <row r="156" spans="3:18" hidden="1" outlineLevel="1" x14ac:dyDescent="0.3">
      <c r="C156" s="307">
        <v>2027</v>
      </c>
      <c r="D156" s="307">
        <v>43</v>
      </c>
      <c r="E156" s="307">
        <v>8</v>
      </c>
      <c r="F156" s="307">
        <v>0</v>
      </c>
      <c r="G156" s="307">
        <v>0</v>
      </c>
      <c r="H156" s="307">
        <v>0.843019175422553</v>
      </c>
      <c r="I156" s="307">
        <v>0.52189250088258521</v>
      </c>
      <c r="J156" s="307">
        <v>1.1659068749999999</v>
      </c>
      <c r="K156" s="339">
        <v>15000</v>
      </c>
      <c r="L156" s="339">
        <v>9127.170821849244</v>
      </c>
      <c r="M156" s="339">
        <v>0</v>
      </c>
      <c r="N156" s="339">
        <v>0</v>
      </c>
      <c r="O156" s="339">
        <v>3500</v>
      </c>
      <c r="P156" s="339">
        <v>3500</v>
      </c>
      <c r="Q156" s="339">
        <v>0</v>
      </c>
      <c r="R156" s="339">
        <v>0</v>
      </c>
    </row>
    <row r="157" spans="3:18" hidden="1" outlineLevel="1" x14ac:dyDescent="0.3">
      <c r="C157" s="307">
        <v>2028</v>
      </c>
      <c r="D157" s="307">
        <v>44</v>
      </c>
      <c r="E157" s="307">
        <v>9</v>
      </c>
      <c r="F157" s="307">
        <v>0</v>
      </c>
      <c r="G157" s="307">
        <v>0</v>
      </c>
      <c r="H157" s="307">
        <v>0.8028754051643362</v>
      </c>
      <c r="I157" s="307">
        <v>0.53754927590906276</v>
      </c>
      <c r="J157" s="307">
        <v>1.2212874515624998</v>
      </c>
      <c r="K157" s="339">
        <v>15000</v>
      </c>
      <c r="L157" s="339">
        <v>9847.5327789636958</v>
      </c>
      <c r="M157" s="339">
        <v>0</v>
      </c>
      <c r="N157" s="339">
        <v>0</v>
      </c>
      <c r="O157" s="339">
        <v>3500</v>
      </c>
      <c r="P157" s="339">
        <v>3500</v>
      </c>
      <c r="Q157" s="339">
        <v>0</v>
      </c>
      <c r="R157" s="339">
        <v>0</v>
      </c>
    </row>
    <row r="158" spans="3:18" hidden="1" outlineLevel="1" x14ac:dyDescent="0.3">
      <c r="C158" s="307">
        <v>2029</v>
      </c>
      <c r="D158" s="307">
        <v>45</v>
      </c>
      <c r="E158" s="307">
        <v>10</v>
      </c>
      <c r="F158" s="307">
        <v>0</v>
      </c>
      <c r="G158" s="307">
        <v>0</v>
      </c>
      <c r="H158" s="307">
        <v>0.7646432430136535</v>
      </c>
      <c r="I158" s="307">
        <v>0.55367575418633463</v>
      </c>
      <c r="J158" s="307">
        <v>1.2762453868828123</v>
      </c>
      <c r="K158" s="339">
        <v>15000</v>
      </c>
      <c r="L158" s="339">
        <v>10599.391906637573</v>
      </c>
      <c r="M158" s="339">
        <v>0</v>
      </c>
      <c r="N158" s="339">
        <v>0</v>
      </c>
      <c r="O158" s="339">
        <v>3500</v>
      </c>
      <c r="P158" s="339">
        <v>3500</v>
      </c>
      <c r="Q158" s="339">
        <v>0</v>
      </c>
      <c r="R158" s="339">
        <v>0</v>
      </c>
    </row>
    <row r="159" spans="3:18" hidden="1" outlineLevel="1" x14ac:dyDescent="0.3">
      <c r="C159" s="307">
        <v>2030</v>
      </c>
      <c r="D159" s="307">
        <v>46</v>
      </c>
      <c r="E159" s="307">
        <v>11</v>
      </c>
      <c r="F159" s="307">
        <v>0</v>
      </c>
      <c r="G159" s="307">
        <v>0</v>
      </c>
      <c r="H159" s="307">
        <v>0.72823166001300332</v>
      </c>
      <c r="I159" s="307">
        <v>0.57028602681192464</v>
      </c>
      <c r="J159" s="307">
        <v>1.3304858158253319</v>
      </c>
      <c r="K159" s="339">
        <v>15000</v>
      </c>
      <c r="L159" s="339">
        <v>11381.362044549758</v>
      </c>
      <c r="M159" s="339">
        <v>0</v>
      </c>
      <c r="N159" s="339">
        <v>0</v>
      </c>
      <c r="O159" s="339">
        <v>3500</v>
      </c>
      <c r="P159" s="339">
        <v>3500</v>
      </c>
      <c r="Q159" s="339">
        <v>0</v>
      </c>
      <c r="R159" s="339">
        <v>0</v>
      </c>
    </row>
    <row r="160" spans="3:18" hidden="1" outlineLevel="1" x14ac:dyDescent="0.3">
      <c r="C160" s="307">
        <v>2031</v>
      </c>
      <c r="D160" s="307">
        <v>47</v>
      </c>
      <c r="E160" s="307">
        <v>12</v>
      </c>
      <c r="F160" s="307">
        <v>0</v>
      </c>
      <c r="G160" s="307">
        <v>0</v>
      </c>
      <c r="H160" s="307">
        <v>0.69355396191714602</v>
      </c>
      <c r="I160" s="307">
        <v>0.58739460761628237</v>
      </c>
      <c r="J160" s="307">
        <v>1.3837052484583452</v>
      </c>
      <c r="K160" s="339">
        <v>15000</v>
      </c>
      <c r="L160" s="339">
        <v>12191.715022121702</v>
      </c>
      <c r="M160" s="339">
        <v>0</v>
      </c>
      <c r="N160" s="339">
        <v>0</v>
      </c>
      <c r="O160" s="339">
        <v>3500</v>
      </c>
      <c r="P160" s="339">
        <v>3500</v>
      </c>
      <c r="Q160" s="339">
        <v>0</v>
      </c>
      <c r="R160" s="339">
        <v>0</v>
      </c>
    </row>
    <row r="161" spans="3:18" hidden="1" outlineLevel="1" x14ac:dyDescent="0.3">
      <c r="C161" s="307">
        <v>2032</v>
      </c>
      <c r="D161" s="307">
        <v>48</v>
      </c>
      <c r="E161" s="307">
        <v>13</v>
      </c>
      <c r="F161" s="307">
        <v>0</v>
      </c>
      <c r="G161" s="307">
        <v>0</v>
      </c>
      <c r="H161" s="307">
        <v>0.66052758277823431</v>
      </c>
      <c r="I161" s="307">
        <v>0.60501644584477088</v>
      </c>
      <c r="J161" s="307">
        <v>1.4355941952755333</v>
      </c>
      <c r="K161" s="339">
        <v>15000</v>
      </c>
      <c r="L161" s="339">
        <v>13028.371465514807</v>
      </c>
      <c r="M161" s="339">
        <v>0</v>
      </c>
      <c r="N161" s="339">
        <v>0</v>
      </c>
      <c r="O161" s="339">
        <v>3500</v>
      </c>
      <c r="P161" s="339">
        <v>3500</v>
      </c>
      <c r="Q161" s="339">
        <v>0</v>
      </c>
      <c r="R161" s="339">
        <v>0</v>
      </c>
    </row>
    <row r="162" spans="3:18" hidden="1" outlineLevel="1" x14ac:dyDescent="0.3">
      <c r="C162" s="307">
        <v>2033</v>
      </c>
      <c r="D162" s="307">
        <v>49</v>
      </c>
      <c r="E162" s="307">
        <v>14</v>
      </c>
      <c r="F162" s="307">
        <v>0</v>
      </c>
      <c r="G162" s="307">
        <v>0</v>
      </c>
      <c r="H162" s="307">
        <v>0.62907388836022315</v>
      </c>
      <c r="I162" s="307">
        <v>0.62316693922011401</v>
      </c>
      <c r="J162" s="307">
        <v>1.4858399921101768</v>
      </c>
      <c r="K162" s="339">
        <v>15000</v>
      </c>
      <c r="L162" s="339">
        <v>13888.895400812058</v>
      </c>
      <c r="M162" s="339">
        <v>0</v>
      </c>
      <c r="N162" s="339">
        <v>0</v>
      </c>
      <c r="O162" s="339">
        <v>3500</v>
      </c>
      <c r="P162" s="339">
        <v>3500</v>
      </c>
      <c r="Q162" s="339">
        <v>0</v>
      </c>
      <c r="R162" s="339">
        <v>0</v>
      </c>
    </row>
    <row r="163" spans="3:18" hidden="1" outlineLevel="1" x14ac:dyDescent="0.3">
      <c r="C163" s="307">
        <v>2034</v>
      </c>
      <c r="D163" s="307">
        <v>50</v>
      </c>
      <c r="E163" s="307">
        <v>15</v>
      </c>
      <c r="F163" s="307">
        <v>0</v>
      </c>
      <c r="G163" s="307">
        <v>0</v>
      </c>
      <c r="H163" s="307">
        <v>0.59911798891449819</v>
      </c>
      <c r="I163" s="307">
        <v>0.64186194739671742</v>
      </c>
      <c r="J163" s="307">
        <v>1.5341297918537575</v>
      </c>
      <c r="K163" s="339">
        <v>15000</v>
      </c>
      <c r="L163" s="339">
        <v>14770.493036378604</v>
      </c>
      <c r="M163" s="339">
        <v>0</v>
      </c>
      <c r="N163" s="339">
        <v>0</v>
      </c>
      <c r="O163" s="339">
        <v>3500</v>
      </c>
      <c r="P163" s="339">
        <v>3500</v>
      </c>
      <c r="Q163" s="339">
        <v>0</v>
      </c>
      <c r="R163" s="339">
        <v>0</v>
      </c>
    </row>
    <row r="164" spans="3:18" hidden="1" outlineLevel="1" x14ac:dyDescent="0.3">
      <c r="C164" s="307">
        <v>2035</v>
      </c>
      <c r="D164" s="307">
        <v>51</v>
      </c>
      <c r="E164" s="307">
        <v>16</v>
      </c>
      <c r="F164" s="307">
        <v>0</v>
      </c>
      <c r="G164" s="307">
        <v>0</v>
      </c>
      <c r="H164" s="307">
        <v>0.57058856087095067</v>
      </c>
      <c r="I164" s="307">
        <v>0.66111780581861901</v>
      </c>
      <c r="J164" s="307">
        <v>1.5801536856093703</v>
      </c>
      <c r="K164" s="339">
        <v>15000</v>
      </c>
      <c r="L164" s="339">
        <v>15670.016062294062</v>
      </c>
      <c r="M164" s="339">
        <v>0</v>
      </c>
      <c r="N164" s="339">
        <v>0</v>
      </c>
      <c r="O164" s="339">
        <v>3500</v>
      </c>
      <c r="P164" s="339">
        <v>3500</v>
      </c>
      <c r="Q164" s="339">
        <v>0</v>
      </c>
      <c r="R164" s="339">
        <v>0</v>
      </c>
    </row>
    <row r="165" spans="3:18" hidden="1" outlineLevel="1" x14ac:dyDescent="0.3">
      <c r="C165" s="307">
        <v>2036</v>
      </c>
      <c r="D165" s="307">
        <v>52</v>
      </c>
      <c r="E165" s="307">
        <v>17</v>
      </c>
      <c r="F165" s="307">
        <v>0</v>
      </c>
      <c r="G165" s="307">
        <v>0</v>
      </c>
      <c r="H165" s="307">
        <v>0.54341767701995303</v>
      </c>
      <c r="I165" s="307">
        <v>0.68095133999317758</v>
      </c>
      <c r="J165" s="307">
        <v>1.6275582961776514</v>
      </c>
      <c r="K165" s="339">
        <v>15000</v>
      </c>
      <c r="L165" s="339">
        <v>16624.320040487772</v>
      </c>
      <c r="M165" s="339">
        <v>0</v>
      </c>
      <c r="N165" s="339">
        <v>0</v>
      </c>
      <c r="O165" s="339">
        <v>3500</v>
      </c>
      <c r="P165" s="339">
        <v>3500</v>
      </c>
      <c r="Q165" s="339">
        <v>0</v>
      </c>
      <c r="R165" s="339">
        <v>0</v>
      </c>
    </row>
    <row r="166" spans="3:18" hidden="1" outlineLevel="1" x14ac:dyDescent="0.3">
      <c r="C166" s="307">
        <v>2037</v>
      </c>
      <c r="D166" s="307">
        <v>53</v>
      </c>
      <c r="E166" s="307">
        <v>18</v>
      </c>
      <c r="F166" s="307">
        <v>0</v>
      </c>
      <c r="G166" s="307">
        <v>0</v>
      </c>
      <c r="H166" s="307">
        <v>0.51754064478090767</v>
      </c>
      <c r="I166" s="307">
        <v>0.70137988019297293</v>
      </c>
      <c r="J166" s="307">
        <v>1.6763850450629809</v>
      </c>
      <c r="K166" s="339">
        <v>15000</v>
      </c>
      <c r="L166" s="339">
        <v>17636.741130953476</v>
      </c>
      <c r="M166" s="339">
        <v>0</v>
      </c>
      <c r="N166" s="339">
        <v>0</v>
      </c>
      <c r="O166" s="339">
        <v>3500</v>
      </c>
      <c r="P166" s="339">
        <v>3500</v>
      </c>
      <c r="Q166" s="339">
        <v>0</v>
      </c>
      <c r="R166" s="339">
        <v>0</v>
      </c>
    </row>
    <row r="167" spans="3:18" hidden="1" outlineLevel="1" x14ac:dyDescent="0.3">
      <c r="C167" s="307">
        <v>2038</v>
      </c>
      <c r="D167" s="307">
        <v>54</v>
      </c>
      <c r="E167" s="307">
        <v>19</v>
      </c>
      <c r="F167" s="307">
        <v>0</v>
      </c>
      <c r="G167" s="307">
        <v>0</v>
      </c>
      <c r="H167" s="307">
        <v>0.49289585217229298</v>
      </c>
      <c r="I167" s="307">
        <v>0.7224212765987621</v>
      </c>
      <c r="J167" s="307">
        <v>1.7266765964148705</v>
      </c>
      <c r="K167" s="339">
        <v>15000</v>
      </c>
      <c r="L167" s="339">
        <v>18710.818665828545</v>
      </c>
      <c r="M167" s="339">
        <v>0</v>
      </c>
      <c r="N167" s="339">
        <v>0</v>
      </c>
      <c r="O167" s="339">
        <v>3500</v>
      </c>
      <c r="P167" s="339">
        <v>3500</v>
      </c>
      <c r="Q167" s="339">
        <v>0</v>
      </c>
      <c r="R167" s="339">
        <v>0</v>
      </c>
    </row>
    <row r="168" spans="3:18" hidden="1" outlineLevel="1" x14ac:dyDescent="0.3">
      <c r="C168" s="307">
        <v>2039</v>
      </c>
      <c r="D168" s="307">
        <v>55</v>
      </c>
      <c r="E168" s="307">
        <v>20</v>
      </c>
      <c r="F168" s="307">
        <v>1</v>
      </c>
      <c r="G168" s="307">
        <v>8.3657758364132084E-2</v>
      </c>
      <c r="H168" s="307">
        <v>0.46942462111646949</v>
      </c>
      <c r="I168" s="307">
        <v>0.74409391489672494</v>
      </c>
      <c r="J168" s="307">
        <v>1.7784768943073166</v>
      </c>
      <c r="K168" s="339">
        <v>15000</v>
      </c>
      <c r="L168" s="339">
        <v>19850.307522577499</v>
      </c>
      <c r="M168" s="339">
        <v>1660.6322301775019</v>
      </c>
      <c r="N168" s="339">
        <v>779.54165546487161</v>
      </c>
      <c r="O168" s="339">
        <v>3500</v>
      </c>
      <c r="P168" s="339">
        <v>3500</v>
      </c>
      <c r="Q168" s="339">
        <v>292.80215427446228</v>
      </c>
      <c r="R168" s="339">
        <v>137.4485403323755</v>
      </c>
    </row>
    <row r="169" spans="3:18" hidden="1" outlineLevel="1" x14ac:dyDescent="0.3">
      <c r="C169" s="307">
        <v>2040</v>
      </c>
      <c r="D169" s="307">
        <v>56</v>
      </c>
      <c r="E169" s="307">
        <v>21</v>
      </c>
      <c r="F169" s="307">
        <v>1</v>
      </c>
      <c r="G169" s="307">
        <v>8.3436081009928664E-2</v>
      </c>
      <c r="H169" s="307">
        <v>0.44707106772997091</v>
      </c>
      <c r="I169" s="307">
        <v>0.76641673234362673</v>
      </c>
      <c r="J169" s="307">
        <v>1.8318312011365361</v>
      </c>
      <c r="K169" s="339">
        <v>15000</v>
      </c>
      <c r="L169" s="339">
        <v>21059.191250702472</v>
      </c>
      <c r="M169" s="339">
        <v>1757.0963871971924</v>
      </c>
      <c r="N169" s="339">
        <v>785.54695792872315</v>
      </c>
      <c r="O169" s="339">
        <v>3500</v>
      </c>
      <c r="P169" s="339">
        <v>3500</v>
      </c>
      <c r="Q169" s="339">
        <v>292.02628353475035</v>
      </c>
      <c r="R169" s="339">
        <v>130.55650238509605</v>
      </c>
    </row>
    <row r="170" spans="3:18" hidden="1" outlineLevel="1" x14ac:dyDescent="0.3">
      <c r="C170" s="307">
        <v>2041</v>
      </c>
      <c r="D170" s="307">
        <v>57</v>
      </c>
      <c r="E170" s="307">
        <v>22</v>
      </c>
      <c r="F170" s="307">
        <v>1</v>
      </c>
      <c r="G170" s="307">
        <v>8.3189962117090982E-2</v>
      </c>
      <c r="H170" s="307">
        <v>0.42578196926663892</v>
      </c>
      <c r="I170" s="307">
        <v>0.7894092343139355</v>
      </c>
      <c r="J170" s="307">
        <v>1.8867861371706323</v>
      </c>
      <c r="K170" s="339">
        <v>15000</v>
      </c>
      <c r="L170" s="339">
        <v>22341.695997870254</v>
      </c>
      <c r="M170" s="339">
        <v>1858.6048436943897</v>
      </c>
      <c r="N170" s="339">
        <v>791.36043043671089</v>
      </c>
      <c r="O170" s="339">
        <v>3500</v>
      </c>
      <c r="P170" s="339">
        <v>3500</v>
      </c>
      <c r="Q170" s="339">
        <v>291.16486740981844</v>
      </c>
      <c r="R170" s="339">
        <v>123.97275062701232</v>
      </c>
    </row>
    <row r="171" spans="3:18" hidden="1" outlineLevel="1" x14ac:dyDescent="0.3">
      <c r="C171" s="307">
        <v>2042</v>
      </c>
      <c r="D171" s="307">
        <v>58</v>
      </c>
      <c r="E171" s="307">
        <v>23</v>
      </c>
      <c r="F171" s="307">
        <v>1</v>
      </c>
      <c r="G171" s="307">
        <v>8.291961411190274E-2</v>
      </c>
      <c r="H171" s="307">
        <v>0.40550663739679893</v>
      </c>
      <c r="I171" s="307">
        <v>0.81309151134335356</v>
      </c>
      <c r="J171" s="307">
        <v>1.9433897212857514</v>
      </c>
      <c r="K171" s="339">
        <v>15000</v>
      </c>
      <c r="L171" s="339">
        <v>23702.305284140555</v>
      </c>
      <c r="M171" s="339">
        <v>1965.3860077234481</v>
      </c>
      <c r="N171" s="339">
        <v>796.97707117865457</v>
      </c>
      <c r="O171" s="339">
        <v>3500</v>
      </c>
      <c r="P171" s="339">
        <v>3500</v>
      </c>
      <c r="Q171" s="339">
        <v>290.2186493916596</v>
      </c>
      <c r="R171" s="339">
        <v>117.68558862465242</v>
      </c>
    </row>
    <row r="172" spans="3:18" hidden="1" outlineLevel="1" x14ac:dyDescent="0.3">
      <c r="C172" s="307">
        <v>2043</v>
      </c>
      <c r="D172" s="307">
        <v>59</v>
      </c>
      <c r="E172" s="307">
        <v>24</v>
      </c>
      <c r="F172" s="307">
        <v>1</v>
      </c>
      <c r="G172" s="307">
        <v>8.2621131741777848E-2</v>
      </c>
      <c r="H172" s="307">
        <v>0.38619679752076086</v>
      </c>
      <c r="I172" s="307">
        <v>0.83748425668365423</v>
      </c>
      <c r="J172" s="307">
        <v>2.0016914129243242</v>
      </c>
      <c r="K172" s="339">
        <v>15000</v>
      </c>
      <c r="L172" s="339">
        <v>25145.775675944718</v>
      </c>
      <c r="M172" s="339">
        <v>2077.5724448714213</v>
      </c>
      <c r="N172" s="339">
        <v>802.35182482672042</v>
      </c>
      <c r="O172" s="339">
        <v>3500</v>
      </c>
      <c r="P172" s="339">
        <v>3500</v>
      </c>
      <c r="Q172" s="339">
        <v>289.17396109622246</v>
      </c>
      <c r="R172" s="339">
        <v>111.6780577017542</v>
      </c>
    </row>
    <row r="173" spans="3:18" hidden="1" outlineLevel="1" x14ac:dyDescent="0.3">
      <c r="C173" s="307">
        <v>2044</v>
      </c>
      <c r="D173" s="307">
        <v>60</v>
      </c>
      <c r="E173" s="307">
        <v>25</v>
      </c>
      <c r="F173" s="307">
        <v>1</v>
      </c>
      <c r="G173" s="307">
        <v>8.2290678670606812E-2</v>
      </c>
      <c r="H173" s="307">
        <v>0.36780647382929604</v>
      </c>
      <c r="I173" s="307">
        <v>0.86260878438416388</v>
      </c>
      <c r="J173" s="307">
        <v>2.0617421553120541</v>
      </c>
      <c r="K173" s="339">
        <v>15000</v>
      </c>
      <c r="L173" s="339">
        <v>26677.153414609755</v>
      </c>
      <c r="M173" s="339">
        <v>2195.2810594881325</v>
      </c>
      <c r="N173" s="339">
        <v>807.43858555457109</v>
      </c>
      <c r="O173" s="339">
        <v>3500</v>
      </c>
      <c r="P173" s="339">
        <v>3500</v>
      </c>
      <c r="Q173" s="339">
        <v>288.01737534712385</v>
      </c>
      <c r="R173" s="339">
        <v>105.93465522799444</v>
      </c>
    </row>
    <row r="174" spans="3:18" hidden="1" outlineLevel="1" x14ac:dyDescent="0.3">
      <c r="C174" s="307">
        <v>2045</v>
      </c>
      <c r="D174" s="307">
        <v>61</v>
      </c>
      <c r="E174" s="307">
        <v>26</v>
      </c>
      <c r="F174" s="307">
        <v>1</v>
      </c>
      <c r="G174" s="307">
        <v>8.1924528444045311E-2</v>
      </c>
      <c r="H174" s="307">
        <v>0.35029187983742477</v>
      </c>
      <c r="I174" s="307">
        <v>0.88848704791568878</v>
      </c>
      <c r="J174" s="307">
        <v>2.1235944199714156</v>
      </c>
      <c r="K174" s="339">
        <v>15000</v>
      </c>
      <c r="L174" s="339">
        <v>28301.792057559487</v>
      </c>
      <c r="M174" s="339">
        <v>2318.6109684369881</v>
      </c>
      <c r="N174" s="339">
        <v>812.19059474546452</v>
      </c>
      <c r="O174" s="339">
        <v>3500</v>
      </c>
      <c r="P174" s="339">
        <v>3500</v>
      </c>
      <c r="Q174" s="339">
        <v>286.73584955415856</v>
      </c>
      <c r="R174" s="339">
        <v>100.44123975710721</v>
      </c>
    </row>
    <row r="175" spans="3:18" hidden="1" outlineLevel="1" x14ac:dyDescent="0.3">
      <c r="C175" s="307">
        <v>2046</v>
      </c>
      <c r="D175" s="307">
        <v>62</v>
      </c>
      <c r="E175" s="307">
        <v>27</v>
      </c>
      <c r="F175" s="307">
        <v>1</v>
      </c>
      <c r="G175" s="307">
        <v>0.30155919348843885</v>
      </c>
      <c r="H175" s="307">
        <v>0.33361131413088074</v>
      </c>
      <c r="I175" s="307">
        <v>0.9151416593531595</v>
      </c>
      <c r="J175" s="307">
        <v>2.1873022525705581</v>
      </c>
      <c r="K175" s="339">
        <v>15000</v>
      </c>
      <c r="L175" s="339">
        <v>30025.371193864863</v>
      </c>
      <c r="M175" s="339">
        <v>9054.4267214128922</v>
      </c>
      <c r="N175" s="339">
        <v>3020.6591972323172</v>
      </c>
      <c r="O175" s="339">
        <v>3500</v>
      </c>
      <c r="P175" s="339">
        <v>3500</v>
      </c>
      <c r="Q175" s="339">
        <v>1055.457177209536</v>
      </c>
      <c r="R175" s="339">
        <v>352.11245589774319</v>
      </c>
    </row>
    <row r="176" spans="3:18" hidden="1" outlineLevel="1" x14ac:dyDescent="0.3">
      <c r="C176" s="307">
        <v>2047</v>
      </c>
      <c r="D176" s="307">
        <v>63</v>
      </c>
      <c r="E176" s="307">
        <v>28</v>
      </c>
      <c r="F176" s="307">
        <v>1</v>
      </c>
      <c r="G176" s="307">
        <v>0.45273876053242179</v>
      </c>
      <c r="H176" s="307">
        <v>0.31772506107702925</v>
      </c>
      <c r="I176" s="307">
        <v>0.94259590913375435</v>
      </c>
      <c r="J176" s="307">
        <v>2.2529213201476748</v>
      </c>
      <c r="K176" s="339">
        <v>15000</v>
      </c>
      <c r="L176" s="339">
        <v>31853.916299571232</v>
      </c>
      <c r="M176" s="339">
        <v>14421.502583571388</v>
      </c>
      <c r="N176" s="339">
        <v>4582.0727891877541</v>
      </c>
      <c r="O176" s="339">
        <v>3500</v>
      </c>
      <c r="P176" s="339">
        <v>3500</v>
      </c>
      <c r="Q176" s="339">
        <v>1584.5856618634762</v>
      </c>
      <c r="R176" s="339">
        <v>503.46257619735781</v>
      </c>
    </row>
    <row r="177" spans="3:18" hidden="1" outlineLevel="1" x14ac:dyDescent="0.3">
      <c r="C177" s="307">
        <v>2048</v>
      </c>
      <c r="D177" s="307">
        <v>64</v>
      </c>
      <c r="E177" s="307">
        <v>29</v>
      </c>
      <c r="F177" s="307">
        <v>1</v>
      </c>
      <c r="G177" s="307">
        <v>0.52068955064672595</v>
      </c>
      <c r="H177" s="307">
        <v>0.30259529626383735</v>
      </c>
      <c r="I177" s="307">
        <v>0.970873786407767</v>
      </c>
      <c r="J177" s="307">
        <v>2.3205089597521051</v>
      </c>
      <c r="K177" s="339">
        <v>15000</v>
      </c>
      <c r="L177" s="339">
        <v>33793.819802215119</v>
      </c>
      <c r="M177" s="339">
        <v>17596.088847451818</v>
      </c>
      <c r="N177" s="339">
        <v>5324.4937178794871</v>
      </c>
      <c r="O177" s="339">
        <v>3500</v>
      </c>
      <c r="P177" s="339">
        <v>3500</v>
      </c>
      <c r="Q177" s="339">
        <v>1822.4134272635408</v>
      </c>
      <c r="R177" s="339">
        <v>551.45373093800629</v>
      </c>
    </row>
    <row r="178" spans="3:18" hidden="1" outlineLevel="1" x14ac:dyDescent="0.3">
      <c r="C178" s="307">
        <v>2049</v>
      </c>
      <c r="D178" s="307">
        <v>65</v>
      </c>
      <c r="E178" s="307">
        <v>30</v>
      </c>
      <c r="F178" s="307">
        <v>1</v>
      </c>
      <c r="G178" s="307">
        <v>0.79766257984514588</v>
      </c>
      <c r="H178" s="307">
        <v>0.28818599644174986</v>
      </c>
      <c r="I178" s="307">
        <v>1</v>
      </c>
      <c r="J178" s="307">
        <v>2.3901242285446682</v>
      </c>
      <c r="K178" s="339">
        <v>2100</v>
      </c>
      <c r="L178" s="339">
        <v>5019.260879943803</v>
      </c>
      <c r="M178" s="339">
        <v>4003.6765824117911</v>
      </c>
      <c r="N178" s="339">
        <v>1153.8035253328417</v>
      </c>
      <c r="O178" s="339">
        <v>1000</v>
      </c>
      <c r="P178" s="339">
        <v>1000</v>
      </c>
      <c r="Q178" s="339">
        <v>797.66257984514584</v>
      </c>
      <c r="R178" s="339">
        <v>229.87518539697021</v>
      </c>
    </row>
    <row r="179" spans="3:18" hidden="1" outlineLevel="1" x14ac:dyDescent="0.3">
      <c r="C179" s="307">
        <v>2050</v>
      </c>
      <c r="D179" s="307">
        <v>66</v>
      </c>
      <c r="E179" s="307">
        <v>31</v>
      </c>
      <c r="F179" s="307">
        <v>1</v>
      </c>
      <c r="G179" s="307">
        <v>0.79172098825197978</v>
      </c>
      <c r="H179" s="307">
        <v>0.2744628537540475</v>
      </c>
      <c r="I179" s="307">
        <v>1.0249999999999999</v>
      </c>
      <c r="J179" s="307">
        <v>2.4618279554010085</v>
      </c>
      <c r="K179" s="339">
        <v>2100</v>
      </c>
      <c r="L179" s="339">
        <v>5299.08467400067</v>
      </c>
      <c r="M179" s="339">
        <v>4195.3965549307304</v>
      </c>
      <c r="N179" s="339">
        <v>1151.4805110961877</v>
      </c>
      <c r="O179" s="339">
        <v>1000</v>
      </c>
      <c r="P179" s="339">
        <v>1000</v>
      </c>
      <c r="Q179" s="339">
        <v>791.72098825197975</v>
      </c>
      <c r="R179" s="339">
        <v>217.29800181261308</v>
      </c>
    </row>
    <row r="180" spans="3:18" hidden="1" outlineLevel="1" x14ac:dyDescent="0.3">
      <c r="C180" s="307">
        <v>2051</v>
      </c>
      <c r="D180" s="307">
        <v>67</v>
      </c>
      <c r="E180" s="307">
        <v>32</v>
      </c>
      <c r="F180" s="307">
        <v>1</v>
      </c>
      <c r="G180" s="307">
        <v>0.78519068500938616</v>
      </c>
      <c r="H180" s="307">
        <v>0.26139319405147382</v>
      </c>
      <c r="I180" s="307">
        <v>1.0506249999999999</v>
      </c>
      <c r="J180" s="307">
        <v>2.5356827940630389</v>
      </c>
      <c r="K180" s="339">
        <v>2100</v>
      </c>
      <c r="L180" s="339">
        <v>5594.5086445762081</v>
      </c>
      <c r="M180" s="339">
        <v>4392.7560749257254</v>
      </c>
      <c r="N180" s="339">
        <v>1148.2365411138505</v>
      </c>
      <c r="O180" s="339">
        <v>1000</v>
      </c>
      <c r="P180" s="339">
        <v>1000</v>
      </c>
      <c r="Q180" s="339">
        <v>785.19068500938613</v>
      </c>
      <c r="R180" s="339">
        <v>205.24350109406814</v>
      </c>
    </row>
    <row r="181" spans="3:18" hidden="1" outlineLevel="1" x14ac:dyDescent="0.3">
      <c r="C181" s="307">
        <v>2052</v>
      </c>
      <c r="D181" s="307">
        <v>68</v>
      </c>
      <c r="E181" s="307">
        <v>33</v>
      </c>
      <c r="F181" s="307">
        <v>1</v>
      </c>
      <c r="G181" s="307">
        <v>0.77796864595838189</v>
      </c>
      <c r="H181" s="307">
        <v>0.24894589909664172</v>
      </c>
      <c r="I181" s="307">
        <v>1.0768906249999999</v>
      </c>
      <c r="J181" s="307">
        <v>2.6117532778849299</v>
      </c>
      <c r="K181" s="339">
        <v>2100</v>
      </c>
      <c r="L181" s="339">
        <v>5906.4025015113311</v>
      </c>
      <c r="M181" s="339">
        <v>4594.9959565859699</v>
      </c>
      <c r="N181" s="339">
        <v>1143.9053997577275</v>
      </c>
      <c r="O181" s="339">
        <v>1000</v>
      </c>
      <c r="P181" s="339">
        <v>1000</v>
      </c>
      <c r="Q181" s="339">
        <v>777.9686459583819</v>
      </c>
      <c r="R181" s="339">
        <v>193.67210403710632</v>
      </c>
    </row>
    <row r="182" spans="3:18" hidden="1" outlineLevel="1" x14ac:dyDescent="0.3">
      <c r="C182" s="307">
        <v>2053</v>
      </c>
      <c r="D182" s="307">
        <v>69</v>
      </c>
      <c r="E182" s="307">
        <v>34</v>
      </c>
      <c r="F182" s="307">
        <v>1</v>
      </c>
      <c r="G182" s="307">
        <v>0.76995784382714261</v>
      </c>
      <c r="H182" s="307">
        <v>0.23709133247299211</v>
      </c>
      <c r="I182" s="307">
        <v>1.1038128906249998</v>
      </c>
      <c r="J182" s="307">
        <v>2.690105876221478</v>
      </c>
      <c r="K182" s="339">
        <v>2100</v>
      </c>
      <c r="L182" s="339">
        <v>6235.6844409705873</v>
      </c>
      <c r="M182" s="339">
        <v>4801.2141469561748</v>
      </c>
      <c r="N182" s="339">
        <v>1138.3262595900196</v>
      </c>
      <c r="O182" s="339">
        <v>1000</v>
      </c>
      <c r="P182" s="339">
        <v>1000</v>
      </c>
      <c r="Q182" s="339">
        <v>769.9578438271426</v>
      </c>
      <c r="R182" s="339">
        <v>182.5503311410092</v>
      </c>
    </row>
    <row r="183" spans="3:18" hidden="1" outlineLevel="1" x14ac:dyDescent="0.3">
      <c r="C183" s="307">
        <v>2054</v>
      </c>
      <c r="D183" s="307">
        <v>70</v>
      </c>
      <c r="E183" s="307">
        <v>35</v>
      </c>
      <c r="F183" s="307">
        <v>1</v>
      </c>
      <c r="G183" s="307">
        <v>0.76099099939548975</v>
      </c>
      <c r="H183" s="307">
        <v>0.22580126902189723</v>
      </c>
      <c r="I183" s="307">
        <v>1.1314082128906247</v>
      </c>
      <c r="J183" s="307">
        <v>2.7708090525081226</v>
      </c>
      <c r="K183" s="339">
        <v>2100</v>
      </c>
      <c r="L183" s="339">
        <v>6583.3238485546972</v>
      </c>
      <c r="M183" s="339">
        <v>5009.8501948558005</v>
      </c>
      <c r="N183" s="339">
        <v>1131.230531608039</v>
      </c>
      <c r="O183" s="339">
        <v>1000</v>
      </c>
      <c r="P183" s="339">
        <v>1000</v>
      </c>
      <c r="Q183" s="339">
        <v>760.99099939548978</v>
      </c>
      <c r="R183" s="339">
        <v>171.83273337774341</v>
      </c>
    </row>
    <row r="184" spans="3:18" hidden="1" outlineLevel="1" x14ac:dyDescent="0.3">
      <c r="C184" s="307">
        <v>2055</v>
      </c>
      <c r="D184" s="307">
        <v>71</v>
      </c>
      <c r="E184" s="307">
        <v>36</v>
      </c>
      <c r="F184" s="307">
        <v>1</v>
      </c>
      <c r="G184" s="307">
        <v>0.75091190409580877</v>
      </c>
      <c r="H184" s="307">
        <v>0.21504882763990213</v>
      </c>
      <c r="I184" s="307">
        <v>1.1540363771484372</v>
      </c>
      <c r="J184" s="307">
        <v>2.8539333240833664</v>
      </c>
      <c r="K184" s="339">
        <v>2100</v>
      </c>
      <c r="L184" s="339">
        <v>6916.4400352915663</v>
      </c>
      <c r="M184" s="339">
        <v>5193.6371564652727</v>
      </c>
      <c r="N184" s="339">
        <v>1116.8855816848918</v>
      </c>
      <c r="O184" s="339">
        <v>1000</v>
      </c>
      <c r="P184" s="339">
        <v>1000</v>
      </c>
      <c r="Q184" s="339">
        <v>750.91190409580872</v>
      </c>
      <c r="R184" s="339">
        <v>161.48272463665029</v>
      </c>
    </row>
    <row r="185" spans="3:18" hidden="1" outlineLevel="1" x14ac:dyDescent="0.3">
      <c r="C185" s="307">
        <v>2056</v>
      </c>
      <c r="D185" s="307">
        <v>72</v>
      </c>
      <c r="E185" s="307">
        <v>37</v>
      </c>
      <c r="F185" s="307">
        <v>1</v>
      </c>
      <c r="G185" s="307">
        <v>0.73954118684067538</v>
      </c>
      <c r="H185" s="307">
        <v>0.20480840727609725</v>
      </c>
      <c r="I185" s="307">
        <v>1.177117104691406</v>
      </c>
      <c r="J185" s="307">
        <v>2.9395513238058677</v>
      </c>
      <c r="K185" s="339">
        <v>2100</v>
      </c>
      <c r="L185" s="339">
        <v>7266.4119010773202</v>
      </c>
      <c r="M185" s="339">
        <v>5373.8108813959298</v>
      </c>
      <c r="N185" s="339">
        <v>1100.6016476216607</v>
      </c>
      <c r="O185" s="339">
        <v>1000</v>
      </c>
      <c r="P185" s="339">
        <v>1000</v>
      </c>
      <c r="Q185" s="339">
        <v>739.54118684067544</v>
      </c>
      <c r="R185" s="339">
        <v>151.46425259191338</v>
      </c>
    </row>
    <row r="186" spans="3:18" hidden="1" outlineLevel="1" x14ac:dyDescent="0.3">
      <c r="C186" s="307">
        <v>2057</v>
      </c>
      <c r="D186" s="307">
        <v>73</v>
      </c>
      <c r="E186" s="307">
        <v>38</v>
      </c>
      <c r="F186" s="307">
        <v>1</v>
      </c>
      <c r="G186" s="307">
        <v>0.72671709233030368</v>
      </c>
      <c r="H186" s="307">
        <v>0.19505562597723547</v>
      </c>
      <c r="I186" s="307">
        <v>1.2006594467852341</v>
      </c>
      <c r="J186" s="307">
        <v>3.0277378635200436</v>
      </c>
      <c r="K186" s="339">
        <v>2100</v>
      </c>
      <c r="L186" s="339">
        <v>7634.0923432718319</v>
      </c>
      <c r="M186" s="339">
        <v>5547.8253902835404</v>
      </c>
      <c r="N186" s="339">
        <v>1082.1345543141567</v>
      </c>
      <c r="O186" s="339">
        <v>1000</v>
      </c>
      <c r="P186" s="339">
        <v>1000</v>
      </c>
      <c r="Q186" s="339">
        <v>726.71709233030367</v>
      </c>
      <c r="R186" s="339">
        <v>141.75025735284382</v>
      </c>
    </row>
    <row r="187" spans="3:18" hidden="1" outlineLevel="1" x14ac:dyDescent="0.3">
      <c r="C187" s="307">
        <v>2058</v>
      </c>
      <c r="D187" s="307">
        <v>74</v>
      </c>
      <c r="E187" s="307">
        <v>39</v>
      </c>
      <c r="F187" s="307">
        <v>1</v>
      </c>
      <c r="G187" s="307">
        <v>0.71233691426354162</v>
      </c>
      <c r="H187" s="307">
        <v>0.18576726283546235</v>
      </c>
      <c r="I187" s="307">
        <v>1.2246726357209388</v>
      </c>
      <c r="J187" s="307">
        <v>3.1185699994256448</v>
      </c>
      <c r="K187" s="339">
        <v>2100</v>
      </c>
      <c r="L187" s="339">
        <v>8020.3774158413862</v>
      </c>
      <c r="M187" s="339">
        <v>5713.210899629451</v>
      </c>
      <c r="N187" s="339">
        <v>1061.3275508258926</v>
      </c>
      <c r="O187" s="339">
        <v>1000</v>
      </c>
      <c r="P187" s="339">
        <v>1000</v>
      </c>
      <c r="Q187" s="339">
        <v>712.33691426354164</v>
      </c>
      <c r="R187" s="339">
        <v>132.32887877939754</v>
      </c>
    </row>
    <row r="188" spans="3:18" hidden="1" outlineLevel="1" x14ac:dyDescent="0.3">
      <c r="C188" s="307">
        <v>2059</v>
      </c>
      <c r="D188" s="307">
        <v>75</v>
      </c>
      <c r="E188" s="307">
        <v>40</v>
      </c>
      <c r="F188" s="307">
        <v>1</v>
      </c>
      <c r="G188" s="307">
        <v>0.69628473000971236</v>
      </c>
      <c r="H188" s="307">
        <v>0.17692120270044032</v>
      </c>
      <c r="I188" s="307">
        <v>1.2491660884353575</v>
      </c>
      <c r="J188" s="307">
        <v>3.2121270994084141</v>
      </c>
      <c r="K188" s="339">
        <v>2100</v>
      </c>
      <c r="L188" s="339">
        <v>8426.2085130829601</v>
      </c>
      <c r="M188" s="339">
        <v>5867.0403195375084</v>
      </c>
      <c r="N188" s="339">
        <v>1038.0038296245516</v>
      </c>
      <c r="O188" s="339">
        <v>1000</v>
      </c>
      <c r="P188" s="339">
        <v>1000</v>
      </c>
      <c r="Q188" s="339">
        <v>696.28473000971235</v>
      </c>
      <c r="R188" s="339">
        <v>123.18753185526968</v>
      </c>
    </row>
    <row r="189" spans="3:18" hidden="1" outlineLevel="1" x14ac:dyDescent="0.3">
      <c r="C189" s="307">
        <v>2060</v>
      </c>
      <c r="D189" s="307">
        <v>76</v>
      </c>
      <c r="E189" s="307">
        <v>41</v>
      </c>
      <c r="F189" s="307">
        <v>1</v>
      </c>
      <c r="G189" s="307">
        <v>0.67847337196075141</v>
      </c>
      <c r="H189" s="307">
        <v>0.16849638352422885</v>
      </c>
      <c r="I189" s="307">
        <v>1.2679035797618876</v>
      </c>
      <c r="J189" s="307">
        <v>3.3084909123906665</v>
      </c>
      <c r="K189" s="339">
        <v>2100</v>
      </c>
      <c r="L189" s="339">
        <v>8809.1796900025802</v>
      </c>
      <c r="M189" s="339">
        <v>5976.7938484842171</v>
      </c>
      <c r="N189" s="339">
        <v>1007.0681485394484</v>
      </c>
      <c r="O189" s="339">
        <v>1000</v>
      </c>
      <c r="P189" s="339">
        <v>1000</v>
      </c>
      <c r="Q189" s="339">
        <v>678.47337196075136</v>
      </c>
      <c r="R189" s="339">
        <v>114.32030949287554</v>
      </c>
    </row>
    <row r="190" spans="3:18" hidden="1" outlineLevel="1" x14ac:dyDescent="0.3">
      <c r="C190" s="307">
        <v>2061</v>
      </c>
      <c r="D190" s="307">
        <v>77</v>
      </c>
      <c r="E190" s="307">
        <v>42</v>
      </c>
      <c r="F190" s="307">
        <v>1</v>
      </c>
      <c r="G190" s="307">
        <v>0.65884793814485254</v>
      </c>
      <c r="H190" s="307">
        <v>0.16047274621355129</v>
      </c>
      <c r="I190" s="307">
        <v>1.2869221334583159</v>
      </c>
      <c r="J190" s="307">
        <v>3.4077456397623864</v>
      </c>
      <c r="K190" s="339">
        <v>2100</v>
      </c>
      <c r="L190" s="339">
        <v>9209.5569069131961</v>
      </c>
      <c r="M190" s="339">
        <v>6067.6975793474448</v>
      </c>
      <c r="N190" s="339">
        <v>973.70009375120196</v>
      </c>
      <c r="O190" s="339">
        <v>1000</v>
      </c>
      <c r="P190" s="339">
        <v>1000</v>
      </c>
      <c r="Q190" s="339">
        <v>658.84793814485249</v>
      </c>
      <c r="R190" s="339">
        <v>105.72713797124045</v>
      </c>
    </row>
    <row r="191" spans="3:18" hidden="1" outlineLevel="1" x14ac:dyDescent="0.3">
      <c r="C191" s="307">
        <v>2062</v>
      </c>
      <c r="D191" s="307">
        <v>78</v>
      </c>
      <c r="E191" s="307">
        <v>43</v>
      </c>
      <c r="F191" s="307">
        <v>1</v>
      </c>
      <c r="G191" s="307">
        <v>0.63738901021444172</v>
      </c>
      <c r="H191" s="307">
        <v>0.15283118687004885</v>
      </c>
      <c r="I191" s="307">
        <v>1.3062259654601904</v>
      </c>
      <c r="J191" s="307">
        <v>3.5099780089552581</v>
      </c>
      <c r="K191" s="339">
        <v>2100</v>
      </c>
      <c r="L191" s="339">
        <v>9628.1312683323995</v>
      </c>
      <c r="M191" s="339">
        <v>6136.8650593371058</v>
      </c>
      <c r="N191" s="339">
        <v>937.90437067982259</v>
      </c>
      <c r="O191" s="339">
        <v>1000</v>
      </c>
      <c r="P191" s="339">
        <v>1000</v>
      </c>
      <c r="Q191" s="339">
        <v>637.38901021444167</v>
      </c>
      <c r="R191" s="339">
        <v>97.412918928998806</v>
      </c>
    </row>
    <row r="192" spans="3:18" hidden="1" outlineLevel="1" x14ac:dyDescent="0.3">
      <c r="C192" s="307">
        <v>2063</v>
      </c>
      <c r="D192" s="307">
        <v>79</v>
      </c>
      <c r="E192" s="307">
        <v>44</v>
      </c>
      <c r="F192" s="307">
        <v>1</v>
      </c>
      <c r="G192" s="307">
        <v>0.61414668724683197</v>
      </c>
      <c r="H192" s="307">
        <v>0.14555351130480843</v>
      </c>
      <c r="I192" s="307">
        <v>1.3258193549420931</v>
      </c>
      <c r="J192" s="307">
        <v>3.6152773492239159</v>
      </c>
      <c r="K192" s="339">
        <v>2100</v>
      </c>
      <c r="L192" s="339">
        <v>10065.729834478107</v>
      </c>
      <c r="M192" s="339">
        <v>6181.8346325663315</v>
      </c>
      <c r="N192" s="339">
        <v>899.78773707569974</v>
      </c>
      <c r="O192" s="339">
        <v>1000</v>
      </c>
      <c r="P192" s="339">
        <v>1000</v>
      </c>
      <c r="Q192" s="339">
        <v>614.14668724683202</v>
      </c>
      <c r="R192" s="339">
        <v>89.391206784992406</v>
      </c>
    </row>
    <row r="193" spans="3:18" hidden="1" outlineLevel="1" x14ac:dyDescent="0.3">
      <c r="C193" s="307">
        <v>2064</v>
      </c>
      <c r="D193" s="307">
        <v>80</v>
      </c>
      <c r="E193" s="307">
        <v>45</v>
      </c>
      <c r="F193" s="307">
        <v>1</v>
      </c>
      <c r="G193" s="307">
        <v>0.58917743669067546</v>
      </c>
      <c r="H193" s="307">
        <v>0.13862239171886517</v>
      </c>
      <c r="I193" s="307">
        <v>1.3457066452662243</v>
      </c>
      <c r="J193" s="307">
        <v>3.7237356697006336</v>
      </c>
      <c r="K193" s="339">
        <v>2100</v>
      </c>
      <c r="L193" s="339">
        <v>10523.217255455134</v>
      </c>
      <c r="M193" s="339">
        <v>6200.0421683081413</v>
      </c>
      <c r="N193" s="339">
        <v>859.46467412869333</v>
      </c>
      <c r="O193" s="339">
        <v>1000</v>
      </c>
      <c r="P193" s="339">
        <v>1000</v>
      </c>
      <c r="Q193" s="339">
        <v>589.17743669067545</v>
      </c>
      <c r="R193" s="339">
        <v>81.673185420851695</v>
      </c>
    </row>
    <row r="194" spans="3:18" hidden="1" outlineLevel="1" x14ac:dyDescent="0.3">
      <c r="C194" s="307">
        <v>2065</v>
      </c>
      <c r="D194" s="307">
        <v>81</v>
      </c>
      <c r="E194" s="307">
        <v>46</v>
      </c>
      <c r="F194" s="307">
        <v>1</v>
      </c>
      <c r="G194" s="307">
        <v>0.5625186945210614</v>
      </c>
      <c r="H194" s="307">
        <v>0.13202132544653825</v>
      </c>
      <c r="I194" s="307">
        <v>1.3591637117188866</v>
      </c>
      <c r="J194" s="307">
        <v>3.8354477397916527</v>
      </c>
      <c r="K194" s="339">
        <v>2100</v>
      </c>
      <c r="L194" s="339">
        <v>10947.302910849978</v>
      </c>
      <c r="M194" s="339">
        <v>6158.0625419379448</v>
      </c>
      <c r="N194" s="339">
        <v>812.99557896932595</v>
      </c>
      <c r="O194" s="339">
        <v>1000</v>
      </c>
      <c r="P194" s="339">
        <v>1000</v>
      </c>
      <c r="Q194" s="339">
        <v>562.51869452106143</v>
      </c>
      <c r="R194" s="339">
        <v>74.264463639126888</v>
      </c>
    </row>
    <row r="195" spans="3:18" hidden="1" outlineLevel="1" x14ac:dyDescent="0.3">
      <c r="C195" s="307">
        <v>2066</v>
      </c>
      <c r="D195" s="307">
        <v>82</v>
      </c>
      <c r="E195" s="307">
        <v>47</v>
      </c>
      <c r="F195" s="307">
        <v>1</v>
      </c>
      <c r="G195" s="307">
        <v>0.534314615711035</v>
      </c>
      <c r="H195" s="307">
        <v>0.12573459566336975</v>
      </c>
      <c r="I195" s="307">
        <v>1.3727553488360755</v>
      </c>
      <c r="J195" s="307">
        <v>3.9505111719854025</v>
      </c>
      <c r="K195" s="339">
        <v>2100</v>
      </c>
      <c r="L195" s="339">
        <v>11388.479218157234</v>
      </c>
      <c r="M195" s="339">
        <v>6085.0308969827911</v>
      </c>
      <c r="N195" s="339">
        <v>765.09889943124335</v>
      </c>
      <c r="O195" s="339">
        <v>1000</v>
      </c>
      <c r="P195" s="339">
        <v>1000</v>
      </c>
      <c r="Q195" s="339">
        <v>534.314615711035</v>
      </c>
      <c r="R195" s="339">
        <v>67.18183216345578</v>
      </c>
    </row>
    <row r="196" spans="3:18" hidden="1" outlineLevel="1" x14ac:dyDescent="0.3">
      <c r="C196" s="307">
        <v>2067</v>
      </c>
      <c r="D196" s="307">
        <v>83</v>
      </c>
      <c r="E196" s="307">
        <v>48</v>
      </c>
      <c r="F196" s="307">
        <v>1</v>
      </c>
      <c r="G196" s="307">
        <v>0.50475262858610526</v>
      </c>
      <c r="H196" s="307">
        <v>0.11974723396511404</v>
      </c>
      <c r="I196" s="307">
        <v>1.3864829023244363</v>
      </c>
      <c r="J196" s="307">
        <v>4.0690265071449643</v>
      </c>
      <c r="K196" s="339">
        <v>2100</v>
      </c>
      <c r="L196" s="339">
        <v>11847.434930648969</v>
      </c>
      <c r="M196" s="339">
        <v>5980.0239232479089</v>
      </c>
      <c r="N196" s="339">
        <v>716.09132385414648</v>
      </c>
      <c r="O196" s="339">
        <v>1000</v>
      </c>
      <c r="P196" s="339">
        <v>1000</v>
      </c>
      <c r="Q196" s="339">
        <v>504.75262858610523</v>
      </c>
      <c r="R196" s="339">
        <v>60.442731109806651</v>
      </c>
    </row>
    <row r="197" spans="3:18" hidden="1" outlineLevel="1" x14ac:dyDescent="0.3">
      <c r="C197" s="307">
        <v>2068</v>
      </c>
      <c r="D197" s="307">
        <v>84</v>
      </c>
      <c r="E197" s="307">
        <v>49</v>
      </c>
      <c r="F197" s="307">
        <v>1</v>
      </c>
      <c r="G197" s="307">
        <v>0.47403099591910092</v>
      </c>
      <c r="H197" s="307">
        <v>0.11404498472868004</v>
      </c>
      <c r="I197" s="307">
        <v>1.4003477313476806</v>
      </c>
      <c r="J197" s="307">
        <v>4.1910973023593137</v>
      </c>
      <c r="K197" s="339">
        <v>2100</v>
      </c>
      <c r="L197" s="339">
        <v>12324.886558354123</v>
      </c>
      <c r="M197" s="339">
        <v>5842.3782498465453</v>
      </c>
      <c r="N197" s="339">
        <v>666.29393828292166</v>
      </c>
      <c r="O197" s="339">
        <v>1000</v>
      </c>
      <c r="P197" s="339">
        <v>1000</v>
      </c>
      <c r="Q197" s="339">
        <v>474.03099591910092</v>
      </c>
      <c r="R197" s="339">
        <v>54.060857690514851</v>
      </c>
    </row>
    <row r="198" spans="3:18" hidden="1" outlineLevel="1" x14ac:dyDescent="0.3">
      <c r="C198" s="307">
        <v>2069</v>
      </c>
      <c r="D198" s="307">
        <v>85</v>
      </c>
      <c r="E198" s="307">
        <v>50</v>
      </c>
      <c r="F198" s="307">
        <v>1</v>
      </c>
      <c r="G198" s="307">
        <v>0.44238966442216721</v>
      </c>
      <c r="H198" s="307">
        <v>0.10861427117017146</v>
      </c>
      <c r="I198" s="307">
        <v>1.4143512086611574</v>
      </c>
      <c r="J198" s="307">
        <v>4.3168302214300933</v>
      </c>
      <c r="K198" s="339">
        <v>2100</v>
      </c>
      <c r="L198" s="339">
        <v>12821.579486655795</v>
      </c>
      <c r="M198" s="339">
        <v>5672.1342464638001</v>
      </c>
      <c r="N198" s="339">
        <v>616.07472715903532</v>
      </c>
      <c r="O198" s="339">
        <v>1000</v>
      </c>
      <c r="P198" s="339">
        <v>1000</v>
      </c>
      <c r="Q198" s="339">
        <v>442.38966442216719</v>
      </c>
      <c r="R198" s="339">
        <v>48.049830974430421</v>
      </c>
    </row>
    <row r="199" spans="3:18" hidden="1" outlineLevel="1" x14ac:dyDescent="0.3">
      <c r="C199" s="307">
        <v>2070</v>
      </c>
      <c r="D199" s="307">
        <v>86</v>
      </c>
      <c r="E199" s="307">
        <v>51</v>
      </c>
      <c r="F199" s="307">
        <v>1</v>
      </c>
      <c r="G199" s="307">
        <v>0.41003829342478615</v>
      </c>
      <c r="H199" s="307">
        <v>0.10344216301921091</v>
      </c>
      <c r="I199" s="307">
        <v>1.4214229647044629</v>
      </c>
      <c r="J199" s="307">
        <v>4.4463351280729961</v>
      </c>
      <c r="K199" s="339">
        <v>2100</v>
      </c>
      <c r="L199" s="339">
        <v>13272.258005611744</v>
      </c>
      <c r="M199" s="339">
        <v>5442.134022514495</v>
      </c>
      <c r="N199" s="339">
        <v>562.94611472933843</v>
      </c>
      <c r="O199" s="339">
        <v>1000</v>
      </c>
      <c r="P199" s="339">
        <v>1000</v>
      </c>
      <c r="Q199" s="339">
        <v>410.03829342478616</v>
      </c>
      <c r="R199" s="339">
        <v>42.415247992565767</v>
      </c>
    </row>
    <row r="200" spans="3:18" hidden="1" outlineLevel="1" x14ac:dyDescent="0.3">
      <c r="C200" s="307">
        <v>2071</v>
      </c>
      <c r="D200" s="307">
        <v>87</v>
      </c>
      <c r="E200" s="307">
        <v>52</v>
      </c>
      <c r="F200" s="307">
        <v>1</v>
      </c>
      <c r="G200" s="307">
        <v>0.37719232451930973</v>
      </c>
      <c r="H200" s="307">
        <v>9.851634573258182E-2</v>
      </c>
      <c r="I200" s="307">
        <v>1.4285300795279852</v>
      </c>
      <c r="J200" s="307">
        <v>4.5797251819151858</v>
      </c>
      <c r="K200" s="339">
        <v>2100</v>
      </c>
      <c r="L200" s="339">
        <v>13738.777874508996</v>
      </c>
      <c r="M200" s="339">
        <v>5182.1615625405093</v>
      </c>
      <c r="N200" s="339">
        <v>510.52762013733724</v>
      </c>
      <c r="O200" s="339">
        <v>1000</v>
      </c>
      <c r="P200" s="339">
        <v>1000</v>
      </c>
      <c r="Q200" s="339">
        <v>377.19232451930975</v>
      </c>
      <c r="R200" s="339">
        <v>37.159609450020518</v>
      </c>
    </row>
    <row r="201" spans="3:18" hidden="1" outlineLevel="1" x14ac:dyDescent="0.3">
      <c r="C201" s="307">
        <v>2072</v>
      </c>
      <c r="D201" s="307">
        <v>88</v>
      </c>
      <c r="E201" s="307">
        <v>53</v>
      </c>
      <c r="F201" s="307">
        <v>1</v>
      </c>
      <c r="G201" s="307">
        <v>0.34410318346216362</v>
      </c>
      <c r="H201" s="307">
        <v>9.3825091173887445E-2</v>
      </c>
      <c r="I201" s="307">
        <v>1.4356727299256249</v>
      </c>
      <c r="J201" s="307">
        <v>4.7171169373726416</v>
      </c>
      <c r="K201" s="339">
        <v>2100</v>
      </c>
      <c r="L201" s="339">
        <v>14221.695916797986</v>
      </c>
      <c r="M201" s="339">
        <v>4893.7308392010409</v>
      </c>
      <c r="N201" s="339">
        <v>459.15474216850237</v>
      </c>
      <c r="O201" s="339">
        <v>1000</v>
      </c>
      <c r="P201" s="339">
        <v>1000</v>
      </c>
      <c r="Q201" s="339">
        <v>344.1031834621636</v>
      </c>
      <c r="R201" s="339">
        <v>32.28551256156242</v>
      </c>
    </row>
    <row r="202" spans="3:18" hidden="1" outlineLevel="1" x14ac:dyDescent="0.3">
      <c r="C202" s="307">
        <v>2073</v>
      </c>
      <c r="D202" s="307">
        <v>89</v>
      </c>
      <c r="E202" s="307">
        <v>54</v>
      </c>
      <c r="F202" s="307">
        <v>1</v>
      </c>
      <c r="G202" s="307">
        <v>0.31092433288219679</v>
      </c>
      <c r="H202" s="307">
        <v>8.9357229689416617E-2</v>
      </c>
      <c r="I202" s="307">
        <v>1.4428510935752528</v>
      </c>
      <c r="J202" s="307">
        <v>4.8586304454938212</v>
      </c>
      <c r="K202" s="339">
        <v>2100</v>
      </c>
      <c r="L202" s="339">
        <v>14721.588528273434</v>
      </c>
      <c r="M202" s="339">
        <v>4577.300092119619</v>
      </c>
      <c r="N202" s="339">
        <v>409.01485568892065</v>
      </c>
      <c r="O202" s="339">
        <v>1000</v>
      </c>
      <c r="P202" s="339">
        <v>1000</v>
      </c>
      <c r="Q202" s="339">
        <v>310.92433288219678</v>
      </c>
      <c r="R202" s="339">
        <v>27.783337029383091</v>
      </c>
    </row>
    <row r="203" spans="3:18" hidden="1" outlineLevel="1" x14ac:dyDescent="0.3">
      <c r="C203" s="307">
        <v>2074</v>
      </c>
      <c r="D203" s="307">
        <v>90</v>
      </c>
      <c r="E203" s="307">
        <v>55</v>
      </c>
      <c r="F203" s="307">
        <v>1</v>
      </c>
      <c r="G203" s="307">
        <v>0.27786614903500484</v>
      </c>
      <c r="H203" s="307">
        <v>8.5102123513730102E-2</v>
      </c>
      <c r="I203" s="307">
        <v>1.4500653490431288</v>
      </c>
      <c r="J203" s="307">
        <v>5.0043893588586359</v>
      </c>
      <c r="K203" s="339">
        <v>2100</v>
      </c>
      <c r="L203" s="339">
        <v>15239.05236504224</v>
      </c>
      <c r="M203" s="339">
        <v>4234.4167956170704</v>
      </c>
      <c r="N203" s="339">
        <v>360.35786114921717</v>
      </c>
      <c r="O203" s="339">
        <v>1000</v>
      </c>
      <c r="P203" s="339">
        <v>1000</v>
      </c>
      <c r="Q203" s="339">
        <v>277.86614903500487</v>
      </c>
      <c r="R203" s="339">
        <v>23.646999335461519</v>
      </c>
    </row>
    <row r="204" spans="3:18" collapsed="1" x14ac:dyDescent="0.3"/>
    <row r="205" spans="3:18" x14ac:dyDescent="0.3">
      <c r="C205" s="123" t="s">
        <v>1202</v>
      </c>
    </row>
    <row r="206" spans="3:18" ht="57.6" x14ac:dyDescent="0.3">
      <c r="C206" s="340" t="s">
        <v>291</v>
      </c>
      <c r="D206" s="340" t="s">
        <v>7</v>
      </c>
      <c r="E206" s="340" t="s">
        <v>1095</v>
      </c>
      <c r="F206" s="340" t="s">
        <v>1201</v>
      </c>
      <c r="G206" s="340" t="s">
        <v>1200</v>
      </c>
      <c r="H206" s="340" t="s">
        <v>1199</v>
      </c>
      <c r="I206" s="340" t="s">
        <v>1198</v>
      </c>
      <c r="J206" s="340" t="s">
        <v>1197</v>
      </c>
      <c r="K206" s="340" t="s">
        <v>1196</v>
      </c>
      <c r="L206" s="340" t="s">
        <v>1195</v>
      </c>
      <c r="M206" s="340" t="s">
        <v>1194</v>
      </c>
      <c r="N206" s="340" t="s">
        <v>1193</v>
      </c>
      <c r="O206" s="340" t="s">
        <v>1192</v>
      </c>
      <c r="P206" s="340" t="s">
        <v>1191</v>
      </c>
      <c r="Q206" s="340" t="s">
        <v>1190</v>
      </c>
      <c r="R206" s="340" t="s">
        <v>1189</v>
      </c>
    </row>
    <row r="207" spans="3:18" hidden="1" outlineLevel="1" x14ac:dyDescent="0.3">
      <c r="C207" s="307">
        <v>2024</v>
      </c>
      <c r="D207" s="307">
        <v>40</v>
      </c>
      <c r="E207" s="307">
        <v>5</v>
      </c>
      <c r="F207" s="307">
        <v>0</v>
      </c>
      <c r="G207" s="307">
        <v>0</v>
      </c>
      <c r="H207" s="307">
        <v>0.97590007294853309</v>
      </c>
      <c r="I207" s="307">
        <v>0.47760556926165926</v>
      </c>
      <c r="J207" s="307">
        <v>1</v>
      </c>
      <c r="K207" s="339">
        <v>15000</v>
      </c>
      <c r="L207" s="339">
        <v>7164.0835389248887</v>
      </c>
      <c r="M207" s="339">
        <v>0</v>
      </c>
      <c r="N207" s="339">
        <v>0</v>
      </c>
      <c r="O207" s="339">
        <v>0.2</v>
      </c>
      <c r="P207" s="339">
        <v>1432.8167077849778</v>
      </c>
      <c r="Q207" s="339">
        <v>0</v>
      </c>
      <c r="R207" s="339">
        <v>0</v>
      </c>
    </row>
    <row r="208" spans="3:18" hidden="1" outlineLevel="1" x14ac:dyDescent="0.3">
      <c r="C208" s="307">
        <v>2025</v>
      </c>
      <c r="D208" s="307">
        <v>41</v>
      </c>
      <c r="E208" s="307">
        <v>6</v>
      </c>
      <c r="F208" s="307">
        <v>0</v>
      </c>
      <c r="G208" s="307">
        <v>0</v>
      </c>
      <c r="H208" s="307">
        <v>0.92942864090336486</v>
      </c>
      <c r="I208" s="307">
        <v>0.49193373633950904</v>
      </c>
      <c r="J208" s="307">
        <v>1.0549999999999999</v>
      </c>
      <c r="K208" s="339">
        <v>15000</v>
      </c>
      <c r="L208" s="339">
        <v>7784.8513775727297</v>
      </c>
      <c r="M208" s="339">
        <v>0</v>
      </c>
      <c r="N208" s="339">
        <v>0</v>
      </c>
      <c r="O208" s="339">
        <v>0.2</v>
      </c>
      <c r="P208" s="339">
        <v>1556.9702755145461</v>
      </c>
      <c r="Q208" s="339">
        <v>0</v>
      </c>
      <c r="R208" s="339">
        <v>0</v>
      </c>
    </row>
    <row r="209" spans="3:18" hidden="1" outlineLevel="1" x14ac:dyDescent="0.3">
      <c r="C209" s="307">
        <v>2026</v>
      </c>
      <c r="D209" s="307">
        <v>42</v>
      </c>
      <c r="E209" s="307">
        <v>7</v>
      </c>
      <c r="F209" s="307">
        <v>0</v>
      </c>
      <c r="G209" s="307">
        <v>0</v>
      </c>
      <c r="H209" s="307">
        <v>0.88517013419368074</v>
      </c>
      <c r="I209" s="307">
        <v>0.50669174842969433</v>
      </c>
      <c r="J209" s="307">
        <v>1.1103874999999999</v>
      </c>
      <c r="K209" s="339">
        <v>15000</v>
      </c>
      <c r="L209" s="339">
        <v>8439.3627571421566</v>
      </c>
      <c r="M209" s="339">
        <v>0</v>
      </c>
      <c r="N209" s="339">
        <v>0</v>
      </c>
      <c r="O209" s="339">
        <v>0.2</v>
      </c>
      <c r="P209" s="339">
        <v>1687.8725514284315</v>
      </c>
      <c r="Q209" s="339">
        <v>0</v>
      </c>
      <c r="R209" s="339">
        <v>0</v>
      </c>
    </row>
    <row r="210" spans="3:18" hidden="1" outlineLevel="1" x14ac:dyDescent="0.3">
      <c r="C210" s="307">
        <v>2027</v>
      </c>
      <c r="D210" s="307">
        <v>43</v>
      </c>
      <c r="E210" s="307">
        <v>8</v>
      </c>
      <c r="F210" s="307">
        <v>0</v>
      </c>
      <c r="G210" s="307">
        <v>0</v>
      </c>
      <c r="H210" s="307">
        <v>0.843019175422553</v>
      </c>
      <c r="I210" s="307">
        <v>0.52189250088258521</v>
      </c>
      <c r="J210" s="307">
        <v>1.1659068749999999</v>
      </c>
      <c r="K210" s="339">
        <v>15000</v>
      </c>
      <c r="L210" s="339">
        <v>9127.170821849244</v>
      </c>
      <c r="M210" s="339">
        <v>0</v>
      </c>
      <c r="N210" s="339">
        <v>0</v>
      </c>
      <c r="O210" s="339">
        <v>0.2</v>
      </c>
      <c r="P210" s="339">
        <v>1825.434164369849</v>
      </c>
      <c r="Q210" s="339">
        <v>0</v>
      </c>
      <c r="R210" s="339">
        <v>0</v>
      </c>
    </row>
    <row r="211" spans="3:18" hidden="1" outlineLevel="1" x14ac:dyDescent="0.3">
      <c r="C211" s="307">
        <v>2028</v>
      </c>
      <c r="D211" s="307">
        <v>44</v>
      </c>
      <c r="E211" s="307">
        <v>9</v>
      </c>
      <c r="F211" s="307">
        <v>0</v>
      </c>
      <c r="G211" s="307">
        <v>0</v>
      </c>
      <c r="H211" s="307">
        <v>0.8028754051643362</v>
      </c>
      <c r="I211" s="307">
        <v>0.53754927590906276</v>
      </c>
      <c r="J211" s="307">
        <v>1.2212874515624998</v>
      </c>
      <c r="K211" s="339">
        <v>15000</v>
      </c>
      <c r="L211" s="339">
        <v>9847.5327789636958</v>
      </c>
      <c r="M211" s="339">
        <v>0</v>
      </c>
      <c r="N211" s="339">
        <v>0</v>
      </c>
      <c r="O211" s="339">
        <v>0.2</v>
      </c>
      <c r="P211" s="339">
        <v>1969.5065557927392</v>
      </c>
      <c r="Q211" s="339">
        <v>0</v>
      </c>
      <c r="R211" s="339">
        <v>0</v>
      </c>
    </row>
    <row r="212" spans="3:18" hidden="1" outlineLevel="1" x14ac:dyDescent="0.3">
      <c r="C212" s="307">
        <v>2029</v>
      </c>
      <c r="D212" s="307">
        <v>45</v>
      </c>
      <c r="E212" s="307">
        <v>10</v>
      </c>
      <c r="F212" s="307">
        <v>0</v>
      </c>
      <c r="G212" s="307">
        <v>0</v>
      </c>
      <c r="H212" s="307">
        <v>0.7646432430136535</v>
      </c>
      <c r="I212" s="307">
        <v>0.55367575418633463</v>
      </c>
      <c r="J212" s="307">
        <v>1.2762453868828123</v>
      </c>
      <c r="K212" s="339">
        <v>15000</v>
      </c>
      <c r="L212" s="339">
        <v>10599.391906637573</v>
      </c>
      <c r="M212" s="339">
        <v>0</v>
      </c>
      <c r="N212" s="339">
        <v>0</v>
      </c>
      <c r="O212" s="339">
        <v>0.2</v>
      </c>
      <c r="P212" s="339">
        <v>2119.8783813275145</v>
      </c>
      <c r="Q212" s="339">
        <v>0</v>
      </c>
      <c r="R212" s="339">
        <v>0</v>
      </c>
    </row>
    <row r="213" spans="3:18" hidden="1" outlineLevel="1" x14ac:dyDescent="0.3">
      <c r="C213" s="307">
        <v>2030</v>
      </c>
      <c r="D213" s="307">
        <v>46</v>
      </c>
      <c r="E213" s="307">
        <v>11</v>
      </c>
      <c r="F213" s="307">
        <v>0</v>
      </c>
      <c r="G213" s="307">
        <v>0</v>
      </c>
      <c r="H213" s="307">
        <v>0.72823166001300332</v>
      </c>
      <c r="I213" s="307">
        <v>0.57028602681192464</v>
      </c>
      <c r="J213" s="307">
        <v>1.3304858158253319</v>
      </c>
      <c r="K213" s="339">
        <v>15000</v>
      </c>
      <c r="L213" s="339">
        <v>11381.362044549758</v>
      </c>
      <c r="M213" s="339">
        <v>0</v>
      </c>
      <c r="N213" s="339">
        <v>0</v>
      </c>
      <c r="O213" s="339">
        <v>0.2</v>
      </c>
      <c r="P213" s="339">
        <v>2276.2724089099515</v>
      </c>
      <c r="Q213" s="339">
        <v>0</v>
      </c>
      <c r="R213" s="339">
        <v>0</v>
      </c>
    </row>
    <row r="214" spans="3:18" hidden="1" outlineLevel="1" x14ac:dyDescent="0.3">
      <c r="C214" s="307">
        <v>2031</v>
      </c>
      <c r="D214" s="307">
        <v>47</v>
      </c>
      <c r="E214" s="307">
        <v>12</v>
      </c>
      <c r="F214" s="307">
        <v>0</v>
      </c>
      <c r="G214" s="307">
        <v>0</v>
      </c>
      <c r="H214" s="307">
        <v>0.69355396191714602</v>
      </c>
      <c r="I214" s="307">
        <v>0.58739460761628237</v>
      </c>
      <c r="J214" s="307">
        <v>1.3837052484583452</v>
      </c>
      <c r="K214" s="339">
        <v>15000</v>
      </c>
      <c r="L214" s="339">
        <v>12191.715022121702</v>
      </c>
      <c r="M214" s="339">
        <v>0</v>
      </c>
      <c r="N214" s="339">
        <v>0</v>
      </c>
      <c r="O214" s="339">
        <v>0.2</v>
      </c>
      <c r="P214" s="339">
        <v>2438.3430044243405</v>
      </c>
      <c r="Q214" s="339">
        <v>0</v>
      </c>
      <c r="R214" s="339">
        <v>0</v>
      </c>
    </row>
    <row r="215" spans="3:18" hidden="1" outlineLevel="1" x14ac:dyDescent="0.3">
      <c r="C215" s="307">
        <v>2032</v>
      </c>
      <c r="D215" s="307">
        <v>48</v>
      </c>
      <c r="E215" s="307">
        <v>13</v>
      </c>
      <c r="F215" s="307">
        <v>0</v>
      </c>
      <c r="G215" s="307">
        <v>0</v>
      </c>
      <c r="H215" s="307">
        <v>0.66052758277823431</v>
      </c>
      <c r="I215" s="307">
        <v>0.60501644584477088</v>
      </c>
      <c r="J215" s="307">
        <v>1.4355941952755333</v>
      </c>
      <c r="K215" s="339">
        <v>15000</v>
      </c>
      <c r="L215" s="339">
        <v>13028.371465514807</v>
      </c>
      <c r="M215" s="339">
        <v>0</v>
      </c>
      <c r="N215" s="339">
        <v>0</v>
      </c>
      <c r="O215" s="339">
        <v>0.2</v>
      </c>
      <c r="P215" s="339">
        <v>2605.6742931029617</v>
      </c>
      <c r="Q215" s="339">
        <v>0</v>
      </c>
      <c r="R215" s="339">
        <v>0</v>
      </c>
    </row>
    <row r="216" spans="3:18" hidden="1" outlineLevel="1" x14ac:dyDescent="0.3">
      <c r="C216" s="307">
        <v>2033</v>
      </c>
      <c r="D216" s="307">
        <v>49</v>
      </c>
      <c r="E216" s="307">
        <v>14</v>
      </c>
      <c r="F216" s="307">
        <v>0</v>
      </c>
      <c r="G216" s="307">
        <v>0</v>
      </c>
      <c r="H216" s="307">
        <v>0.62907388836022315</v>
      </c>
      <c r="I216" s="307">
        <v>0.62316693922011401</v>
      </c>
      <c r="J216" s="307">
        <v>1.4858399921101768</v>
      </c>
      <c r="K216" s="339">
        <v>15000</v>
      </c>
      <c r="L216" s="339">
        <v>13888.895400812058</v>
      </c>
      <c r="M216" s="339">
        <v>0</v>
      </c>
      <c r="N216" s="339">
        <v>0</v>
      </c>
      <c r="O216" s="339">
        <v>0.2</v>
      </c>
      <c r="P216" s="339">
        <v>2777.7790801624119</v>
      </c>
      <c r="Q216" s="339">
        <v>0</v>
      </c>
      <c r="R216" s="339">
        <v>0</v>
      </c>
    </row>
    <row r="217" spans="3:18" hidden="1" outlineLevel="1" x14ac:dyDescent="0.3">
      <c r="C217" s="307">
        <v>2034</v>
      </c>
      <c r="D217" s="307">
        <v>50</v>
      </c>
      <c r="E217" s="307">
        <v>15</v>
      </c>
      <c r="F217" s="307">
        <v>0</v>
      </c>
      <c r="G217" s="307">
        <v>0</v>
      </c>
      <c r="H217" s="307">
        <v>0.59911798891449819</v>
      </c>
      <c r="I217" s="307">
        <v>0.64186194739671742</v>
      </c>
      <c r="J217" s="307">
        <v>1.5341297918537575</v>
      </c>
      <c r="K217" s="339">
        <v>15000</v>
      </c>
      <c r="L217" s="339">
        <v>14770.493036378604</v>
      </c>
      <c r="M217" s="339">
        <v>0</v>
      </c>
      <c r="N217" s="339">
        <v>0</v>
      </c>
      <c r="O217" s="339">
        <v>0.2</v>
      </c>
      <c r="P217" s="339">
        <v>2954.098607275721</v>
      </c>
      <c r="Q217" s="339">
        <v>0</v>
      </c>
      <c r="R217" s="339">
        <v>0</v>
      </c>
    </row>
    <row r="218" spans="3:18" hidden="1" outlineLevel="1" x14ac:dyDescent="0.3">
      <c r="C218" s="307">
        <v>2035</v>
      </c>
      <c r="D218" s="307">
        <v>51</v>
      </c>
      <c r="E218" s="307">
        <v>16</v>
      </c>
      <c r="F218" s="307">
        <v>0</v>
      </c>
      <c r="G218" s="307">
        <v>0</v>
      </c>
      <c r="H218" s="307">
        <v>0.57058856087095067</v>
      </c>
      <c r="I218" s="307">
        <v>0.66111780581861901</v>
      </c>
      <c r="J218" s="307">
        <v>1.5801536856093703</v>
      </c>
      <c r="K218" s="339">
        <v>15000</v>
      </c>
      <c r="L218" s="339">
        <v>15670.016062294062</v>
      </c>
      <c r="M218" s="339">
        <v>0</v>
      </c>
      <c r="N218" s="339">
        <v>0</v>
      </c>
      <c r="O218" s="339">
        <v>0.2</v>
      </c>
      <c r="P218" s="339">
        <v>3134.0032124588124</v>
      </c>
      <c r="Q218" s="339">
        <v>0</v>
      </c>
      <c r="R218" s="339">
        <v>0</v>
      </c>
    </row>
    <row r="219" spans="3:18" hidden="1" outlineLevel="1" x14ac:dyDescent="0.3">
      <c r="C219" s="307">
        <v>2036</v>
      </c>
      <c r="D219" s="307">
        <v>52</v>
      </c>
      <c r="E219" s="307">
        <v>17</v>
      </c>
      <c r="F219" s="307">
        <v>0</v>
      </c>
      <c r="G219" s="307">
        <v>0</v>
      </c>
      <c r="H219" s="307">
        <v>0.54341767701995303</v>
      </c>
      <c r="I219" s="307">
        <v>0.68095133999317758</v>
      </c>
      <c r="J219" s="307">
        <v>1.6275582961776514</v>
      </c>
      <c r="K219" s="339">
        <v>15000</v>
      </c>
      <c r="L219" s="339">
        <v>16624.320040487772</v>
      </c>
      <c r="M219" s="339">
        <v>0</v>
      </c>
      <c r="N219" s="339">
        <v>0</v>
      </c>
      <c r="O219" s="339">
        <v>0.2</v>
      </c>
      <c r="P219" s="339">
        <v>3324.8640080975547</v>
      </c>
      <c r="Q219" s="339">
        <v>0</v>
      </c>
      <c r="R219" s="339">
        <v>0</v>
      </c>
    </row>
    <row r="220" spans="3:18" hidden="1" outlineLevel="1" x14ac:dyDescent="0.3">
      <c r="C220" s="307">
        <v>2037</v>
      </c>
      <c r="D220" s="307">
        <v>53</v>
      </c>
      <c r="E220" s="307">
        <v>18</v>
      </c>
      <c r="F220" s="307">
        <v>0</v>
      </c>
      <c r="G220" s="307">
        <v>0</v>
      </c>
      <c r="H220" s="307">
        <v>0.51754064478090767</v>
      </c>
      <c r="I220" s="307">
        <v>0.70137988019297293</v>
      </c>
      <c r="J220" s="307">
        <v>1.6763850450629809</v>
      </c>
      <c r="K220" s="339">
        <v>15000</v>
      </c>
      <c r="L220" s="339">
        <v>17636.741130953476</v>
      </c>
      <c r="M220" s="339">
        <v>0</v>
      </c>
      <c r="N220" s="339">
        <v>0</v>
      </c>
      <c r="O220" s="339">
        <v>0.2</v>
      </c>
      <c r="P220" s="339">
        <v>3527.3482261906956</v>
      </c>
      <c r="Q220" s="339">
        <v>0</v>
      </c>
      <c r="R220" s="339">
        <v>0</v>
      </c>
    </row>
    <row r="221" spans="3:18" hidden="1" outlineLevel="1" x14ac:dyDescent="0.3">
      <c r="C221" s="307">
        <v>2038</v>
      </c>
      <c r="D221" s="307">
        <v>54</v>
      </c>
      <c r="E221" s="307">
        <v>19</v>
      </c>
      <c r="F221" s="307">
        <v>0</v>
      </c>
      <c r="G221" s="307">
        <v>0</v>
      </c>
      <c r="H221" s="307">
        <v>0.49289585217229298</v>
      </c>
      <c r="I221" s="307">
        <v>0.7224212765987621</v>
      </c>
      <c r="J221" s="307">
        <v>1.7266765964148705</v>
      </c>
      <c r="K221" s="339">
        <v>15000</v>
      </c>
      <c r="L221" s="339">
        <v>18710.818665828545</v>
      </c>
      <c r="M221" s="339">
        <v>0</v>
      </c>
      <c r="N221" s="339">
        <v>0</v>
      </c>
      <c r="O221" s="339">
        <v>0.2</v>
      </c>
      <c r="P221" s="339">
        <v>3742.1637331657093</v>
      </c>
      <c r="Q221" s="339">
        <v>0</v>
      </c>
      <c r="R221" s="339">
        <v>0</v>
      </c>
    </row>
    <row r="222" spans="3:18" hidden="1" outlineLevel="1" x14ac:dyDescent="0.3">
      <c r="C222" s="307">
        <v>2039</v>
      </c>
      <c r="D222" s="307">
        <v>55</v>
      </c>
      <c r="E222" s="307">
        <v>20</v>
      </c>
      <c r="F222" s="307">
        <v>1</v>
      </c>
      <c r="G222" s="307">
        <v>8.3657758364132084E-2</v>
      </c>
      <c r="H222" s="307">
        <v>0.46942462111646949</v>
      </c>
      <c r="I222" s="307">
        <v>0.74409391489672494</v>
      </c>
      <c r="J222" s="307">
        <v>1.7784768943073166</v>
      </c>
      <c r="K222" s="339">
        <v>15000</v>
      </c>
      <c r="L222" s="339">
        <v>19850.307522577499</v>
      </c>
      <c r="M222" s="339">
        <v>1660.6322301775019</v>
      </c>
      <c r="N222" s="339">
        <v>779.54165546487161</v>
      </c>
      <c r="O222" s="339">
        <v>0.2</v>
      </c>
      <c r="P222" s="339">
        <v>3970.0615045155</v>
      </c>
      <c r="Q222" s="339">
        <v>332.12644603550035</v>
      </c>
      <c r="R222" s="339">
        <v>155.90833109297429</v>
      </c>
    </row>
    <row r="223" spans="3:18" hidden="1" outlineLevel="1" x14ac:dyDescent="0.3">
      <c r="C223" s="307">
        <v>2040</v>
      </c>
      <c r="D223" s="307">
        <v>56</v>
      </c>
      <c r="E223" s="307">
        <v>21</v>
      </c>
      <c r="F223" s="307">
        <v>1</v>
      </c>
      <c r="G223" s="307">
        <v>8.3436081009928664E-2</v>
      </c>
      <c r="H223" s="307">
        <v>0.44707106772997091</v>
      </c>
      <c r="I223" s="307">
        <v>0.76641673234362673</v>
      </c>
      <c r="J223" s="307">
        <v>1.8318312011365361</v>
      </c>
      <c r="K223" s="339">
        <v>15000</v>
      </c>
      <c r="L223" s="339">
        <v>21059.191250702472</v>
      </c>
      <c r="M223" s="339">
        <v>1757.0963871971924</v>
      </c>
      <c r="N223" s="339">
        <v>785.54695792872315</v>
      </c>
      <c r="O223" s="339">
        <v>0.2</v>
      </c>
      <c r="P223" s="339">
        <v>4211.8382501404949</v>
      </c>
      <c r="Q223" s="339">
        <v>351.41927743943853</v>
      </c>
      <c r="R223" s="339">
        <v>157.10939158574465</v>
      </c>
    </row>
    <row r="224" spans="3:18" hidden="1" outlineLevel="1" x14ac:dyDescent="0.3">
      <c r="C224" s="307">
        <v>2041</v>
      </c>
      <c r="D224" s="307">
        <v>57</v>
      </c>
      <c r="E224" s="307">
        <v>22</v>
      </c>
      <c r="F224" s="307">
        <v>1</v>
      </c>
      <c r="G224" s="307">
        <v>8.3189962117090982E-2</v>
      </c>
      <c r="H224" s="307">
        <v>0.42578196926663892</v>
      </c>
      <c r="I224" s="307">
        <v>0.7894092343139355</v>
      </c>
      <c r="J224" s="307">
        <v>1.8867861371706323</v>
      </c>
      <c r="K224" s="339">
        <v>15000</v>
      </c>
      <c r="L224" s="339">
        <v>22341.695997870254</v>
      </c>
      <c r="M224" s="339">
        <v>1858.6048436943897</v>
      </c>
      <c r="N224" s="339">
        <v>791.36043043671089</v>
      </c>
      <c r="O224" s="339">
        <v>0.2</v>
      </c>
      <c r="P224" s="339">
        <v>4468.3391995740512</v>
      </c>
      <c r="Q224" s="339">
        <v>371.72096873887796</v>
      </c>
      <c r="R224" s="339">
        <v>158.27208608734219</v>
      </c>
    </row>
    <row r="225" spans="3:18" hidden="1" outlineLevel="1" x14ac:dyDescent="0.3">
      <c r="C225" s="307">
        <v>2042</v>
      </c>
      <c r="D225" s="307">
        <v>58</v>
      </c>
      <c r="E225" s="307">
        <v>23</v>
      </c>
      <c r="F225" s="307">
        <v>1</v>
      </c>
      <c r="G225" s="307">
        <v>8.291961411190274E-2</v>
      </c>
      <c r="H225" s="307">
        <v>0.40550663739679893</v>
      </c>
      <c r="I225" s="307">
        <v>0.81309151134335356</v>
      </c>
      <c r="J225" s="307">
        <v>1.9433897212857514</v>
      </c>
      <c r="K225" s="339">
        <v>15000</v>
      </c>
      <c r="L225" s="339">
        <v>23702.305284140555</v>
      </c>
      <c r="M225" s="339">
        <v>1965.3860077234481</v>
      </c>
      <c r="N225" s="339">
        <v>796.97707117865457</v>
      </c>
      <c r="O225" s="339">
        <v>0.2</v>
      </c>
      <c r="P225" s="339">
        <v>4740.4610568281114</v>
      </c>
      <c r="Q225" s="339">
        <v>393.07720154468961</v>
      </c>
      <c r="R225" s="339">
        <v>159.3954142357309</v>
      </c>
    </row>
    <row r="226" spans="3:18" hidden="1" outlineLevel="1" x14ac:dyDescent="0.3">
      <c r="C226" s="307">
        <v>2043</v>
      </c>
      <c r="D226" s="307">
        <v>59</v>
      </c>
      <c r="E226" s="307">
        <v>24</v>
      </c>
      <c r="F226" s="307">
        <v>1</v>
      </c>
      <c r="G226" s="307">
        <v>8.2621131741777848E-2</v>
      </c>
      <c r="H226" s="307">
        <v>0.38619679752076086</v>
      </c>
      <c r="I226" s="307">
        <v>0.83748425668365423</v>
      </c>
      <c r="J226" s="307">
        <v>2.0016914129243242</v>
      </c>
      <c r="K226" s="339">
        <v>15000</v>
      </c>
      <c r="L226" s="339">
        <v>25145.775675944718</v>
      </c>
      <c r="M226" s="339">
        <v>2077.5724448714213</v>
      </c>
      <c r="N226" s="339">
        <v>802.35182482672042</v>
      </c>
      <c r="O226" s="339">
        <v>0.2</v>
      </c>
      <c r="P226" s="339">
        <v>5029.1551351889439</v>
      </c>
      <c r="Q226" s="339">
        <v>415.51448897428429</v>
      </c>
      <c r="R226" s="339">
        <v>160.47036496534409</v>
      </c>
    </row>
    <row r="227" spans="3:18" hidden="1" outlineLevel="1" x14ac:dyDescent="0.3">
      <c r="C227" s="307">
        <v>2044</v>
      </c>
      <c r="D227" s="307">
        <v>60</v>
      </c>
      <c r="E227" s="307">
        <v>25</v>
      </c>
      <c r="F227" s="307">
        <v>1</v>
      </c>
      <c r="G227" s="307">
        <v>8.2290678670606812E-2</v>
      </c>
      <c r="H227" s="307">
        <v>0.36780647382929604</v>
      </c>
      <c r="I227" s="307">
        <v>0.86260878438416388</v>
      </c>
      <c r="J227" s="307">
        <v>2.0617421553120541</v>
      </c>
      <c r="K227" s="339">
        <v>15000</v>
      </c>
      <c r="L227" s="339">
        <v>26677.153414609755</v>
      </c>
      <c r="M227" s="339">
        <v>2195.2810594881325</v>
      </c>
      <c r="N227" s="339">
        <v>807.43858555457109</v>
      </c>
      <c r="O227" s="339">
        <v>0.2</v>
      </c>
      <c r="P227" s="339">
        <v>5335.4306829219513</v>
      </c>
      <c r="Q227" s="339">
        <v>439.05621189762655</v>
      </c>
      <c r="R227" s="339">
        <v>161.48771711091425</v>
      </c>
    </row>
    <row r="228" spans="3:18" hidden="1" outlineLevel="1" x14ac:dyDescent="0.3">
      <c r="C228" s="307">
        <v>2045</v>
      </c>
      <c r="D228" s="307">
        <v>61</v>
      </c>
      <c r="E228" s="307">
        <v>26</v>
      </c>
      <c r="F228" s="307">
        <v>1</v>
      </c>
      <c r="G228" s="307">
        <v>8.1924528444045311E-2</v>
      </c>
      <c r="H228" s="307">
        <v>0.35029187983742477</v>
      </c>
      <c r="I228" s="307">
        <v>0.88848704791568878</v>
      </c>
      <c r="J228" s="307">
        <v>2.1235944199714156</v>
      </c>
      <c r="K228" s="339">
        <v>15000</v>
      </c>
      <c r="L228" s="339">
        <v>28301.792057559487</v>
      </c>
      <c r="M228" s="339">
        <v>2318.6109684369881</v>
      </c>
      <c r="N228" s="339">
        <v>812.19059474546452</v>
      </c>
      <c r="O228" s="339">
        <v>0.2</v>
      </c>
      <c r="P228" s="339">
        <v>5660.3584115118974</v>
      </c>
      <c r="Q228" s="339">
        <v>463.72219368739758</v>
      </c>
      <c r="R228" s="339">
        <v>162.43811894909288</v>
      </c>
    </row>
    <row r="229" spans="3:18" hidden="1" outlineLevel="1" x14ac:dyDescent="0.3">
      <c r="C229" s="307">
        <v>2046</v>
      </c>
      <c r="D229" s="307">
        <v>62</v>
      </c>
      <c r="E229" s="307">
        <v>27</v>
      </c>
      <c r="F229" s="307">
        <v>1</v>
      </c>
      <c r="G229" s="307">
        <v>0.30155919348843885</v>
      </c>
      <c r="H229" s="307">
        <v>0.33361131413088074</v>
      </c>
      <c r="I229" s="307">
        <v>0.9151416593531595</v>
      </c>
      <c r="J229" s="307">
        <v>2.1873022525705581</v>
      </c>
      <c r="K229" s="339">
        <v>15000</v>
      </c>
      <c r="L229" s="339">
        <v>30025.371193864863</v>
      </c>
      <c r="M229" s="339">
        <v>9054.4267214128922</v>
      </c>
      <c r="N229" s="339">
        <v>3020.6591972323172</v>
      </c>
      <c r="O229" s="339">
        <v>0.2</v>
      </c>
      <c r="P229" s="339">
        <v>6005.0742387729733</v>
      </c>
      <c r="Q229" s="339">
        <v>1810.8853442825787</v>
      </c>
      <c r="R229" s="339">
        <v>604.13183944646346</v>
      </c>
    </row>
    <row r="230" spans="3:18" hidden="1" outlineLevel="1" x14ac:dyDescent="0.3">
      <c r="C230" s="307">
        <v>2047</v>
      </c>
      <c r="D230" s="307">
        <v>63</v>
      </c>
      <c r="E230" s="307">
        <v>28</v>
      </c>
      <c r="F230" s="307">
        <v>1</v>
      </c>
      <c r="G230" s="307">
        <v>0.45273876053242179</v>
      </c>
      <c r="H230" s="307">
        <v>0.31772506107702925</v>
      </c>
      <c r="I230" s="307">
        <v>0.94259590913375435</v>
      </c>
      <c r="J230" s="307">
        <v>2.2529213201476748</v>
      </c>
      <c r="K230" s="339">
        <v>15000</v>
      </c>
      <c r="L230" s="339">
        <v>31853.916299571232</v>
      </c>
      <c r="M230" s="339">
        <v>14421.502583571388</v>
      </c>
      <c r="N230" s="339">
        <v>4582.0727891877541</v>
      </c>
      <c r="O230" s="339">
        <v>0.2</v>
      </c>
      <c r="P230" s="339">
        <v>6370.7832599142466</v>
      </c>
      <c r="Q230" s="339">
        <v>2884.3005167142774</v>
      </c>
      <c r="R230" s="339">
        <v>916.41455783755077</v>
      </c>
    </row>
    <row r="231" spans="3:18" hidden="1" outlineLevel="1" x14ac:dyDescent="0.3">
      <c r="C231" s="307">
        <v>2048</v>
      </c>
      <c r="D231" s="307">
        <v>64</v>
      </c>
      <c r="E231" s="307">
        <v>29</v>
      </c>
      <c r="F231" s="307">
        <v>1</v>
      </c>
      <c r="G231" s="307">
        <v>0.52068955064672595</v>
      </c>
      <c r="H231" s="307">
        <v>0.30259529626383735</v>
      </c>
      <c r="I231" s="307">
        <v>0.970873786407767</v>
      </c>
      <c r="J231" s="307">
        <v>2.3205089597521051</v>
      </c>
      <c r="K231" s="339">
        <v>15000</v>
      </c>
      <c r="L231" s="339">
        <v>33793.819802215119</v>
      </c>
      <c r="M231" s="339">
        <v>17596.088847451818</v>
      </c>
      <c r="N231" s="339">
        <v>5324.4937178794871</v>
      </c>
      <c r="O231" s="339">
        <v>0.2</v>
      </c>
      <c r="P231" s="339">
        <v>6758.7639604430242</v>
      </c>
      <c r="Q231" s="339">
        <v>3519.2177694903639</v>
      </c>
      <c r="R231" s="339">
        <v>1064.8987435758975</v>
      </c>
    </row>
    <row r="232" spans="3:18" hidden="1" outlineLevel="1" x14ac:dyDescent="0.3">
      <c r="C232" s="307">
        <v>2049</v>
      </c>
      <c r="D232" s="307">
        <v>65</v>
      </c>
      <c r="E232" s="307">
        <v>30</v>
      </c>
      <c r="F232" s="307">
        <v>1</v>
      </c>
      <c r="G232" s="307">
        <v>0.79766257984514588</v>
      </c>
      <c r="H232" s="307">
        <v>0.28818599644174986</v>
      </c>
      <c r="I232" s="307">
        <v>1</v>
      </c>
      <c r="J232" s="307">
        <v>2.3901242285446682</v>
      </c>
      <c r="K232" s="339">
        <v>2100</v>
      </c>
      <c r="L232" s="339">
        <v>5019.260879943803</v>
      </c>
      <c r="M232" s="339">
        <v>4003.6765824117911</v>
      </c>
      <c r="N232" s="339">
        <v>1153.8035253328417</v>
      </c>
      <c r="O232" s="339">
        <v>0.2</v>
      </c>
      <c r="P232" s="339">
        <v>1003.8521759887607</v>
      </c>
      <c r="Q232" s="339">
        <v>800.73531648235826</v>
      </c>
      <c r="R232" s="339">
        <v>230.76070506656833</v>
      </c>
    </row>
    <row r="233" spans="3:18" hidden="1" outlineLevel="1" x14ac:dyDescent="0.3">
      <c r="C233" s="307">
        <v>2050</v>
      </c>
      <c r="D233" s="307">
        <v>66</v>
      </c>
      <c r="E233" s="307">
        <v>31</v>
      </c>
      <c r="F233" s="307">
        <v>1</v>
      </c>
      <c r="G233" s="307">
        <v>0.79172098825197978</v>
      </c>
      <c r="H233" s="307">
        <v>0.2744628537540475</v>
      </c>
      <c r="I233" s="307">
        <v>1.0249999999999999</v>
      </c>
      <c r="J233" s="307">
        <v>2.4618279554010085</v>
      </c>
      <c r="K233" s="339">
        <v>2100</v>
      </c>
      <c r="L233" s="339">
        <v>5299.08467400067</v>
      </c>
      <c r="M233" s="339">
        <v>4195.3965549307304</v>
      </c>
      <c r="N233" s="339">
        <v>1151.4805110961877</v>
      </c>
      <c r="O233" s="339">
        <v>0.2</v>
      </c>
      <c r="P233" s="339">
        <v>1059.816934800134</v>
      </c>
      <c r="Q233" s="339">
        <v>839.0793109861462</v>
      </c>
      <c r="R233" s="339">
        <v>230.29610221923758</v>
      </c>
    </row>
    <row r="234" spans="3:18" hidden="1" outlineLevel="1" x14ac:dyDescent="0.3">
      <c r="C234" s="307">
        <v>2051</v>
      </c>
      <c r="D234" s="307">
        <v>67</v>
      </c>
      <c r="E234" s="307">
        <v>32</v>
      </c>
      <c r="F234" s="307">
        <v>1</v>
      </c>
      <c r="G234" s="307">
        <v>0.78519068500938616</v>
      </c>
      <c r="H234" s="307">
        <v>0.26139319405147382</v>
      </c>
      <c r="I234" s="307">
        <v>1.0506249999999999</v>
      </c>
      <c r="J234" s="307">
        <v>2.5356827940630389</v>
      </c>
      <c r="K234" s="339">
        <v>2100</v>
      </c>
      <c r="L234" s="339">
        <v>5594.5086445762081</v>
      </c>
      <c r="M234" s="339">
        <v>4392.7560749257254</v>
      </c>
      <c r="N234" s="339">
        <v>1148.2365411138505</v>
      </c>
      <c r="O234" s="339">
        <v>0.2</v>
      </c>
      <c r="P234" s="339">
        <v>1118.9017289152416</v>
      </c>
      <c r="Q234" s="339">
        <v>878.55121498514507</v>
      </c>
      <c r="R234" s="339">
        <v>229.64730822277011</v>
      </c>
    </row>
    <row r="235" spans="3:18" hidden="1" outlineLevel="1" x14ac:dyDescent="0.3">
      <c r="C235" s="307">
        <v>2052</v>
      </c>
      <c r="D235" s="307">
        <v>68</v>
      </c>
      <c r="E235" s="307">
        <v>33</v>
      </c>
      <c r="F235" s="307">
        <v>1</v>
      </c>
      <c r="G235" s="307">
        <v>0.77796864595838189</v>
      </c>
      <c r="H235" s="307">
        <v>0.24894589909664172</v>
      </c>
      <c r="I235" s="307">
        <v>1.0768906249999999</v>
      </c>
      <c r="J235" s="307">
        <v>2.6117532778849299</v>
      </c>
      <c r="K235" s="339">
        <v>2100</v>
      </c>
      <c r="L235" s="339">
        <v>5906.4025015113311</v>
      </c>
      <c r="M235" s="339">
        <v>4594.9959565859699</v>
      </c>
      <c r="N235" s="339">
        <v>1143.9053997577275</v>
      </c>
      <c r="O235" s="339">
        <v>0.2</v>
      </c>
      <c r="P235" s="339">
        <v>1181.2805003022663</v>
      </c>
      <c r="Q235" s="339">
        <v>918.999191317194</v>
      </c>
      <c r="R235" s="339">
        <v>228.78107995154551</v>
      </c>
    </row>
    <row r="236" spans="3:18" hidden="1" outlineLevel="1" x14ac:dyDescent="0.3">
      <c r="C236" s="307">
        <v>2053</v>
      </c>
      <c r="D236" s="307">
        <v>69</v>
      </c>
      <c r="E236" s="307">
        <v>34</v>
      </c>
      <c r="F236" s="307">
        <v>1</v>
      </c>
      <c r="G236" s="307">
        <v>0.76995784382714261</v>
      </c>
      <c r="H236" s="307">
        <v>0.23709133247299211</v>
      </c>
      <c r="I236" s="307">
        <v>1.1038128906249998</v>
      </c>
      <c r="J236" s="307">
        <v>2.690105876221478</v>
      </c>
      <c r="K236" s="339">
        <v>2100</v>
      </c>
      <c r="L236" s="339">
        <v>6235.6844409705873</v>
      </c>
      <c r="M236" s="339">
        <v>4801.2141469561748</v>
      </c>
      <c r="N236" s="339">
        <v>1138.3262595900196</v>
      </c>
      <c r="O236" s="339">
        <v>0.2</v>
      </c>
      <c r="P236" s="339">
        <v>1247.1368881941175</v>
      </c>
      <c r="Q236" s="339">
        <v>960.24282939123498</v>
      </c>
      <c r="R236" s="339">
        <v>227.66525191800392</v>
      </c>
    </row>
    <row r="237" spans="3:18" hidden="1" outlineLevel="1" x14ac:dyDescent="0.3">
      <c r="C237" s="307">
        <v>2054</v>
      </c>
      <c r="D237" s="307">
        <v>70</v>
      </c>
      <c r="E237" s="307">
        <v>35</v>
      </c>
      <c r="F237" s="307">
        <v>1</v>
      </c>
      <c r="G237" s="307">
        <v>0.76099099939548975</v>
      </c>
      <c r="H237" s="307">
        <v>0.22580126902189723</v>
      </c>
      <c r="I237" s="307">
        <v>1.1314082128906247</v>
      </c>
      <c r="J237" s="307">
        <v>2.7708090525081226</v>
      </c>
      <c r="K237" s="339">
        <v>2100</v>
      </c>
      <c r="L237" s="339">
        <v>6583.3238485546972</v>
      </c>
      <c r="M237" s="339">
        <v>5009.8501948558005</v>
      </c>
      <c r="N237" s="339">
        <v>1131.230531608039</v>
      </c>
      <c r="O237" s="339">
        <v>0.2</v>
      </c>
      <c r="P237" s="339">
        <v>1316.6647697109395</v>
      </c>
      <c r="Q237" s="339">
        <v>1001.9700389711602</v>
      </c>
      <c r="R237" s="339">
        <v>226.24610632160778</v>
      </c>
    </row>
    <row r="238" spans="3:18" hidden="1" outlineLevel="1" x14ac:dyDescent="0.3">
      <c r="C238" s="307">
        <v>2055</v>
      </c>
      <c r="D238" s="307">
        <v>71</v>
      </c>
      <c r="E238" s="307">
        <v>36</v>
      </c>
      <c r="F238" s="307">
        <v>1</v>
      </c>
      <c r="G238" s="307">
        <v>0.75091190409580877</v>
      </c>
      <c r="H238" s="307">
        <v>0.21504882763990213</v>
      </c>
      <c r="I238" s="307">
        <v>1.1540363771484372</v>
      </c>
      <c r="J238" s="307">
        <v>2.8539333240833664</v>
      </c>
      <c r="K238" s="339">
        <v>2100</v>
      </c>
      <c r="L238" s="339">
        <v>6916.4400352915663</v>
      </c>
      <c r="M238" s="339">
        <v>5193.6371564652727</v>
      </c>
      <c r="N238" s="339">
        <v>1116.8855816848918</v>
      </c>
      <c r="O238" s="339">
        <v>0.2</v>
      </c>
      <c r="P238" s="339">
        <v>1383.2880070583133</v>
      </c>
      <c r="Q238" s="339">
        <v>1038.7274312930547</v>
      </c>
      <c r="R238" s="339">
        <v>223.37711633697839</v>
      </c>
    </row>
    <row r="239" spans="3:18" hidden="1" outlineLevel="1" x14ac:dyDescent="0.3">
      <c r="C239" s="307">
        <v>2056</v>
      </c>
      <c r="D239" s="307">
        <v>72</v>
      </c>
      <c r="E239" s="307">
        <v>37</v>
      </c>
      <c r="F239" s="307">
        <v>1</v>
      </c>
      <c r="G239" s="307">
        <v>0.73954118684067538</v>
      </c>
      <c r="H239" s="307">
        <v>0.20480840727609725</v>
      </c>
      <c r="I239" s="307">
        <v>1.177117104691406</v>
      </c>
      <c r="J239" s="307">
        <v>2.9395513238058677</v>
      </c>
      <c r="K239" s="339">
        <v>2100</v>
      </c>
      <c r="L239" s="339">
        <v>7266.4119010773202</v>
      </c>
      <c r="M239" s="339">
        <v>5373.8108813959298</v>
      </c>
      <c r="N239" s="339">
        <v>1100.6016476216607</v>
      </c>
      <c r="O239" s="339">
        <v>0.2</v>
      </c>
      <c r="P239" s="339">
        <v>1453.2823802154642</v>
      </c>
      <c r="Q239" s="339">
        <v>1074.762176279186</v>
      </c>
      <c r="R239" s="339">
        <v>220.12032952433213</v>
      </c>
    </row>
    <row r="240" spans="3:18" hidden="1" outlineLevel="1" x14ac:dyDescent="0.3">
      <c r="C240" s="307">
        <v>2057</v>
      </c>
      <c r="D240" s="307">
        <v>73</v>
      </c>
      <c r="E240" s="307">
        <v>38</v>
      </c>
      <c r="F240" s="307">
        <v>1</v>
      </c>
      <c r="G240" s="307">
        <v>0.72671709233030368</v>
      </c>
      <c r="H240" s="307">
        <v>0.19505562597723547</v>
      </c>
      <c r="I240" s="307">
        <v>1.2006594467852341</v>
      </c>
      <c r="J240" s="307">
        <v>3.0277378635200436</v>
      </c>
      <c r="K240" s="339">
        <v>2100</v>
      </c>
      <c r="L240" s="339">
        <v>7634.0923432718319</v>
      </c>
      <c r="M240" s="339">
        <v>5547.8253902835404</v>
      </c>
      <c r="N240" s="339">
        <v>1082.1345543141567</v>
      </c>
      <c r="O240" s="339">
        <v>0.2</v>
      </c>
      <c r="P240" s="339">
        <v>1526.8184686543664</v>
      </c>
      <c r="Q240" s="339">
        <v>1109.565078056708</v>
      </c>
      <c r="R240" s="339">
        <v>216.42691086283131</v>
      </c>
    </row>
    <row r="241" spans="3:18" hidden="1" outlineLevel="1" x14ac:dyDescent="0.3">
      <c r="C241" s="307">
        <v>2058</v>
      </c>
      <c r="D241" s="307">
        <v>74</v>
      </c>
      <c r="E241" s="307">
        <v>39</v>
      </c>
      <c r="F241" s="307">
        <v>1</v>
      </c>
      <c r="G241" s="307">
        <v>0.71233691426354162</v>
      </c>
      <c r="H241" s="307">
        <v>0.18576726283546235</v>
      </c>
      <c r="I241" s="307">
        <v>1.2246726357209388</v>
      </c>
      <c r="J241" s="307">
        <v>3.1185699994256448</v>
      </c>
      <c r="K241" s="339">
        <v>2100</v>
      </c>
      <c r="L241" s="339">
        <v>8020.3774158413862</v>
      </c>
      <c r="M241" s="339">
        <v>5713.210899629451</v>
      </c>
      <c r="N241" s="339">
        <v>1061.3275508258926</v>
      </c>
      <c r="O241" s="339">
        <v>0.2</v>
      </c>
      <c r="P241" s="339">
        <v>1604.0754831682773</v>
      </c>
      <c r="Q241" s="339">
        <v>1142.6421799258903</v>
      </c>
      <c r="R241" s="339">
        <v>212.26551016517854</v>
      </c>
    </row>
    <row r="242" spans="3:18" hidden="1" outlineLevel="1" x14ac:dyDescent="0.3">
      <c r="C242" s="307">
        <v>2059</v>
      </c>
      <c r="D242" s="307">
        <v>75</v>
      </c>
      <c r="E242" s="307">
        <v>40</v>
      </c>
      <c r="F242" s="307">
        <v>1</v>
      </c>
      <c r="G242" s="307">
        <v>0.69628473000971236</v>
      </c>
      <c r="H242" s="307">
        <v>0.17692120270044032</v>
      </c>
      <c r="I242" s="307">
        <v>1.2491660884353575</v>
      </c>
      <c r="J242" s="307">
        <v>3.2121270994084141</v>
      </c>
      <c r="K242" s="339">
        <v>2100</v>
      </c>
      <c r="L242" s="339">
        <v>8426.2085130829601</v>
      </c>
      <c r="M242" s="339">
        <v>5867.0403195375084</v>
      </c>
      <c r="N242" s="339">
        <v>1038.0038296245516</v>
      </c>
      <c r="O242" s="339">
        <v>0.2</v>
      </c>
      <c r="P242" s="339">
        <v>1685.2417026165922</v>
      </c>
      <c r="Q242" s="339">
        <v>1173.4080639075019</v>
      </c>
      <c r="R242" s="339">
        <v>207.60076592491035</v>
      </c>
    </row>
    <row r="243" spans="3:18" hidden="1" outlineLevel="1" x14ac:dyDescent="0.3">
      <c r="C243" s="307">
        <v>2060</v>
      </c>
      <c r="D243" s="307">
        <v>76</v>
      </c>
      <c r="E243" s="307">
        <v>41</v>
      </c>
      <c r="F243" s="307">
        <v>1</v>
      </c>
      <c r="G243" s="307">
        <v>0.67847337196075141</v>
      </c>
      <c r="H243" s="307">
        <v>0.16849638352422885</v>
      </c>
      <c r="I243" s="307">
        <v>1.2679035797618876</v>
      </c>
      <c r="J243" s="307">
        <v>3.3084909123906665</v>
      </c>
      <c r="K243" s="339">
        <v>2100</v>
      </c>
      <c r="L243" s="339">
        <v>8809.1796900025802</v>
      </c>
      <c r="M243" s="339">
        <v>5976.7938484842171</v>
      </c>
      <c r="N243" s="339">
        <v>1007.0681485394484</v>
      </c>
      <c r="O243" s="339">
        <v>0.2</v>
      </c>
      <c r="P243" s="339">
        <v>1761.8359380005161</v>
      </c>
      <c r="Q243" s="339">
        <v>1195.3587696968434</v>
      </c>
      <c r="R243" s="339">
        <v>201.41362970788967</v>
      </c>
    </row>
    <row r="244" spans="3:18" hidden="1" outlineLevel="1" x14ac:dyDescent="0.3">
      <c r="C244" s="307">
        <v>2061</v>
      </c>
      <c r="D244" s="307">
        <v>77</v>
      </c>
      <c r="E244" s="307">
        <v>42</v>
      </c>
      <c r="F244" s="307">
        <v>1</v>
      </c>
      <c r="G244" s="307">
        <v>0.65884793814485254</v>
      </c>
      <c r="H244" s="307">
        <v>0.16047274621355129</v>
      </c>
      <c r="I244" s="307">
        <v>1.2869221334583159</v>
      </c>
      <c r="J244" s="307">
        <v>3.4077456397623864</v>
      </c>
      <c r="K244" s="339">
        <v>2100</v>
      </c>
      <c r="L244" s="339">
        <v>9209.5569069131961</v>
      </c>
      <c r="M244" s="339">
        <v>6067.6975793474448</v>
      </c>
      <c r="N244" s="339">
        <v>973.70009375120196</v>
      </c>
      <c r="O244" s="339">
        <v>0.2</v>
      </c>
      <c r="P244" s="339">
        <v>1841.9113813826393</v>
      </c>
      <c r="Q244" s="339">
        <v>1213.5395158694892</v>
      </c>
      <c r="R244" s="339">
        <v>194.74001875024044</v>
      </c>
    </row>
    <row r="245" spans="3:18" hidden="1" outlineLevel="1" x14ac:dyDescent="0.3">
      <c r="C245" s="307">
        <v>2062</v>
      </c>
      <c r="D245" s="307">
        <v>78</v>
      </c>
      <c r="E245" s="307">
        <v>43</v>
      </c>
      <c r="F245" s="307">
        <v>1</v>
      </c>
      <c r="G245" s="307">
        <v>0.63738901021444172</v>
      </c>
      <c r="H245" s="307">
        <v>0.15283118687004885</v>
      </c>
      <c r="I245" s="307">
        <v>1.3062259654601904</v>
      </c>
      <c r="J245" s="307">
        <v>3.5099780089552581</v>
      </c>
      <c r="K245" s="339">
        <v>2100</v>
      </c>
      <c r="L245" s="339">
        <v>9628.1312683323995</v>
      </c>
      <c r="M245" s="339">
        <v>6136.8650593371058</v>
      </c>
      <c r="N245" s="339">
        <v>937.90437067982259</v>
      </c>
      <c r="O245" s="339">
        <v>0.2</v>
      </c>
      <c r="P245" s="339">
        <v>1925.6262536664799</v>
      </c>
      <c r="Q245" s="339">
        <v>1227.3730118674212</v>
      </c>
      <c r="R245" s="339">
        <v>187.58087413596454</v>
      </c>
    </row>
    <row r="246" spans="3:18" hidden="1" outlineLevel="1" x14ac:dyDescent="0.3">
      <c r="C246" s="307">
        <v>2063</v>
      </c>
      <c r="D246" s="307">
        <v>79</v>
      </c>
      <c r="E246" s="307">
        <v>44</v>
      </c>
      <c r="F246" s="307">
        <v>1</v>
      </c>
      <c r="G246" s="307">
        <v>0.61414668724683197</v>
      </c>
      <c r="H246" s="307">
        <v>0.14555351130480843</v>
      </c>
      <c r="I246" s="307">
        <v>1.3258193549420931</v>
      </c>
      <c r="J246" s="307">
        <v>3.6152773492239159</v>
      </c>
      <c r="K246" s="339">
        <v>2100</v>
      </c>
      <c r="L246" s="339">
        <v>10065.729834478107</v>
      </c>
      <c r="M246" s="339">
        <v>6181.8346325663315</v>
      </c>
      <c r="N246" s="339">
        <v>899.78773707569974</v>
      </c>
      <c r="O246" s="339">
        <v>0.2</v>
      </c>
      <c r="P246" s="339">
        <v>2013.1459668956213</v>
      </c>
      <c r="Q246" s="339">
        <v>1236.3669265132662</v>
      </c>
      <c r="R246" s="339">
        <v>179.95754741513994</v>
      </c>
    </row>
    <row r="247" spans="3:18" hidden="1" outlineLevel="1" x14ac:dyDescent="0.3">
      <c r="C247" s="307">
        <v>2064</v>
      </c>
      <c r="D247" s="307">
        <v>80</v>
      </c>
      <c r="E247" s="307">
        <v>45</v>
      </c>
      <c r="F247" s="307">
        <v>1</v>
      </c>
      <c r="G247" s="307">
        <v>0.58917743669067546</v>
      </c>
      <c r="H247" s="307">
        <v>0.13862239171886517</v>
      </c>
      <c r="I247" s="307">
        <v>1.3457066452662243</v>
      </c>
      <c r="J247" s="307">
        <v>3.7237356697006336</v>
      </c>
      <c r="K247" s="339">
        <v>2100</v>
      </c>
      <c r="L247" s="339">
        <v>10523.217255455134</v>
      </c>
      <c r="M247" s="339">
        <v>6200.0421683081413</v>
      </c>
      <c r="N247" s="339">
        <v>859.46467412869333</v>
      </c>
      <c r="O247" s="339">
        <v>0.2</v>
      </c>
      <c r="P247" s="339">
        <v>2104.6434510910271</v>
      </c>
      <c r="Q247" s="339">
        <v>1240.0084336616283</v>
      </c>
      <c r="R247" s="339">
        <v>171.89293482573868</v>
      </c>
    </row>
    <row r="248" spans="3:18" hidden="1" outlineLevel="1" x14ac:dyDescent="0.3">
      <c r="C248" s="307">
        <v>2065</v>
      </c>
      <c r="D248" s="307">
        <v>81</v>
      </c>
      <c r="E248" s="307">
        <v>46</v>
      </c>
      <c r="F248" s="307">
        <v>1</v>
      </c>
      <c r="G248" s="307">
        <v>0.5625186945210614</v>
      </c>
      <c r="H248" s="307">
        <v>0.13202132544653825</v>
      </c>
      <c r="I248" s="307">
        <v>1.3591637117188866</v>
      </c>
      <c r="J248" s="307">
        <v>3.8354477397916527</v>
      </c>
      <c r="K248" s="339">
        <v>2100</v>
      </c>
      <c r="L248" s="339">
        <v>10947.302910849978</v>
      </c>
      <c r="M248" s="339">
        <v>6158.0625419379448</v>
      </c>
      <c r="N248" s="339">
        <v>812.99557896932595</v>
      </c>
      <c r="O248" s="339">
        <v>0.2</v>
      </c>
      <c r="P248" s="339">
        <v>2189.4605821699956</v>
      </c>
      <c r="Q248" s="339">
        <v>1231.6125083875891</v>
      </c>
      <c r="R248" s="339">
        <v>162.59911579386522</v>
      </c>
    </row>
    <row r="249" spans="3:18" hidden="1" outlineLevel="1" x14ac:dyDescent="0.3">
      <c r="C249" s="307">
        <v>2066</v>
      </c>
      <c r="D249" s="307">
        <v>82</v>
      </c>
      <c r="E249" s="307">
        <v>47</v>
      </c>
      <c r="F249" s="307">
        <v>1</v>
      </c>
      <c r="G249" s="307">
        <v>0.534314615711035</v>
      </c>
      <c r="H249" s="307">
        <v>0.12573459566336975</v>
      </c>
      <c r="I249" s="307">
        <v>1.3727553488360755</v>
      </c>
      <c r="J249" s="307">
        <v>3.9505111719854025</v>
      </c>
      <c r="K249" s="339">
        <v>2100</v>
      </c>
      <c r="L249" s="339">
        <v>11388.479218157234</v>
      </c>
      <c r="M249" s="339">
        <v>6085.0308969827911</v>
      </c>
      <c r="N249" s="339">
        <v>765.09889943124335</v>
      </c>
      <c r="O249" s="339">
        <v>0.2</v>
      </c>
      <c r="P249" s="339">
        <v>2277.6958436314467</v>
      </c>
      <c r="Q249" s="339">
        <v>1217.0061793965581</v>
      </c>
      <c r="R249" s="339">
        <v>153.01977988624867</v>
      </c>
    </row>
    <row r="250" spans="3:18" hidden="1" outlineLevel="1" x14ac:dyDescent="0.3">
      <c r="C250" s="307">
        <v>2067</v>
      </c>
      <c r="D250" s="307">
        <v>83</v>
      </c>
      <c r="E250" s="307">
        <v>48</v>
      </c>
      <c r="F250" s="307">
        <v>1</v>
      </c>
      <c r="G250" s="307">
        <v>0.50475262858610526</v>
      </c>
      <c r="H250" s="307">
        <v>0.11974723396511404</v>
      </c>
      <c r="I250" s="307">
        <v>1.3864829023244363</v>
      </c>
      <c r="J250" s="307">
        <v>4.0690265071449643</v>
      </c>
      <c r="K250" s="339">
        <v>2100</v>
      </c>
      <c r="L250" s="339">
        <v>11847.434930648969</v>
      </c>
      <c r="M250" s="339">
        <v>5980.0239232479089</v>
      </c>
      <c r="N250" s="339">
        <v>716.09132385414648</v>
      </c>
      <c r="O250" s="339">
        <v>0.2</v>
      </c>
      <c r="P250" s="339">
        <v>2369.4869861297939</v>
      </c>
      <c r="Q250" s="339">
        <v>1196.0047846495818</v>
      </c>
      <c r="R250" s="339">
        <v>143.21826477082931</v>
      </c>
    </row>
    <row r="251" spans="3:18" hidden="1" outlineLevel="1" x14ac:dyDescent="0.3">
      <c r="C251" s="307">
        <v>2068</v>
      </c>
      <c r="D251" s="307">
        <v>84</v>
      </c>
      <c r="E251" s="307">
        <v>49</v>
      </c>
      <c r="F251" s="307">
        <v>1</v>
      </c>
      <c r="G251" s="307">
        <v>0.47403099591910092</v>
      </c>
      <c r="H251" s="307">
        <v>0.11404498472868004</v>
      </c>
      <c r="I251" s="307">
        <v>1.4003477313476806</v>
      </c>
      <c r="J251" s="307">
        <v>4.1910973023593137</v>
      </c>
      <c r="K251" s="339">
        <v>2100</v>
      </c>
      <c r="L251" s="339">
        <v>12324.886558354123</v>
      </c>
      <c r="M251" s="339">
        <v>5842.3782498465453</v>
      </c>
      <c r="N251" s="339">
        <v>666.29393828292166</v>
      </c>
      <c r="O251" s="339">
        <v>0.2</v>
      </c>
      <c r="P251" s="339">
        <v>2464.9773116708247</v>
      </c>
      <c r="Q251" s="339">
        <v>1168.4756499693092</v>
      </c>
      <c r="R251" s="339">
        <v>133.25878765658433</v>
      </c>
    </row>
    <row r="252" spans="3:18" hidden="1" outlineLevel="1" x14ac:dyDescent="0.3">
      <c r="C252" s="307">
        <v>2069</v>
      </c>
      <c r="D252" s="307">
        <v>85</v>
      </c>
      <c r="E252" s="307">
        <v>50</v>
      </c>
      <c r="F252" s="307">
        <v>1</v>
      </c>
      <c r="G252" s="307">
        <v>0.44238966442216721</v>
      </c>
      <c r="H252" s="307">
        <v>0.10861427117017146</v>
      </c>
      <c r="I252" s="307">
        <v>1.4143512086611574</v>
      </c>
      <c r="J252" s="307">
        <v>4.3168302214300933</v>
      </c>
      <c r="K252" s="339">
        <v>2100</v>
      </c>
      <c r="L252" s="339">
        <v>12821.579486655795</v>
      </c>
      <c r="M252" s="339">
        <v>5672.1342464638001</v>
      </c>
      <c r="N252" s="339">
        <v>616.07472715903532</v>
      </c>
      <c r="O252" s="339">
        <v>0.2</v>
      </c>
      <c r="P252" s="339">
        <v>2564.3158973311592</v>
      </c>
      <c r="Q252" s="339">
        <v>1134.4268492927602</v>
      </c>
      <c r="R252" s="339">
        <v>123.21494543180708</v>
      </c>
    </row>
    <row r="253" spans="3:18" hidden="1" outlineLevel="1" x14ac:dyDescent="0.3">
      <c r="C253" s="307">
        <v>2070</v>
      </c>
      <c r="D253" s="307">
        <v>86</v>
      </c>
      <c r="E253" s="307">
        <v>51</v>
      </c>
      <c r="F253" s="307">
        <v>1</v>
      </c>
      <c r="G253" s="307">
        <v>0.41003829342478615</v>
      </c>
      <c r="H253" s="307">
        <v>0.10344216301921091</v>
      </c>
      <c r="I253" s="307">
        <v>1.4214229647044629</v>
      </c>
      <c r="J253" s="307">
        <v>4.4463351280729961</v>
      </c>
      <c r="K253" s="339">
        <v>2100</v>
      </c>
      <c r="L253" s="339">
        <v>13272.258005611744</v>
      </c>
      <c r="M253" s="339">
        <v>5442.134022514495</v>
      </c>
      <c r="N253" s="339">
        <v>562.94611472933843</v>
      </c>
      <c r="O253" s="339">
        <v>0.2</v>
      </c>
      <c r="P253" s="339">
        <v>2654.4516011223491</v>
      </c>
      <c r="Q253" s="339">
        <v>1088.4268045028991</v>
      </c>
      <c r="R253" s="339">
        <v>112.5892229458677</v>
      </c>
    </row>
    <row r="254" spans="3:18" hidden="1" outlineLevel="1" x14ac:dyDescent="0.3">
      <c r="C254" s="307">
        <v>2071</v>
      </c>
      <c r="D254" s="307">
        <v>87</v>
      </c>
      <c r="E254" s="307">
        <v>52</v>
      </c>
      <c r="F254" s="307">
        <v>1</v>
      </c>
      <c r="G254" s="307">
        <v>0.37719232451930973</v>
      </c>
      <c r="H254" s="307">
        <v>9.851634573258182E-2</v>
      </c>
      <c r="I254" s="307">
        <v>1.4285300795279852</v>
      </c>
      <c r="J254" s="307">
        <v>4.5797251819151858</v>
      </c>
      <c r="K254" s="339">
        <v>2100</v>
      </c>
      <c r="L254" s="339">
        <v>13738.777874508996</v>
      </c>
      <c r="M254" s="339">
        <v>5182.1615625405093</v>
      </c>
      <c r="N254" s="339">
        <v>510.52762013733724</v>
      </c>
      <c r="O254" s="339">
        <v>0.2</v>
      </c>
      <c r="P254" s="339">
        <v>2747.7555749017993</v>
      </c>
      <c r="Q254" s="339">
        <v>1036.4323125081019</v>
      </c>
      <c r="R254" s="339">
        <v>102.10552402746745</v>
      </c>
    </row>
    <row r="255" spans="3:18" hidden="1" outlineLevel="1" x14ac:dyDescent="0.3">
      <c r="C255" s="307">
        <v>2072</v>
      </c>
      <c r="D255" s="307">
        <v>88</v>
      </c>
      <c r="E255" s="307">
        <v>53</v>
      </c>
      <c r="F255" s="307">
        <v>1</v>
      </c>
      <c r="G255" s="307">
        <v>0.34410318346216362</v>
      </c>
      <c r="H255" s="307">
        <v>9.3825091173887445E-2</v>
      </c>
      <c r="I255" s="307">
        <v>1.4356727299256249</v>
      </c>
      <c r="J255" s="307">
        <v>4.7171169373726416</v>
      </c>
      <c r="K255" s="339">
        <v>2100</v>
      </c>
      <c r="L255" s="339">
        <v>14221.695916797986</v>
      </c>
      <c r="M255" s="339">
        <v>4893.7308392010409</v>
      </c>
      <c r="N255" s="339">
        <v>459.15474216850237</v>
      </c>
      <c r="O255" s="339">
        <v>0.2</v>
      </c>
      <c r="P255" s="339">
        <v>2844.3391833595974</v>
      </c>
      <c r="Q255" s="339">
        <v>978.74616784020816</v>
      </c>
      <c r="R255" s="339">
        <v>91.83094843370047</v>
      </c>
    </row>
    <row r="256" spans="3:18" hidden="1" outlineLevel="1" x14ac:dyDescent="0.3">
      <c r="C256" s="307">
        <v>2073</v>
      </c>
      <c r="D256" s="307">
        <v>89</v>
      </c>
      <c r="E256" s="307">
        <v>54</v>
      </c>
      <c r="F256" s="307">
        <v>1</v>
      </c>
      <c r="G256" s="307">
        <v>0.31092433288219679</v>
      </c>
      <c r="H256" s="307">
        <v>8.9357229689416617E-2</v>
      </c>
      <c r="I256" s="307">
        <v>1.4428510935752528</v>
      </c>
      <c r="J256" s="307">
        <v>4.8586304454938212</v>
      </c>
      <c r="K256" s="339">
        <v>2100</v>
      </c>
      <c r="L256" s="339">
        <v>14721.588528273434</v>
      </c>
      <c r="M256" s="339">
        <v>4577.300092119619</v>
      </c>
      <c r="N256" s="339">
        <v>409.01485568892065</v>
      </c>
      <c r="O256" s="339">
        <v>0.2</v>
      </c>
      <c r="P256" s="339">
        <v>2944.317705654687</v>
      </c>
      <c r="Q256" s="339">
        <v>915.46001842392377</v>
      </c>
      <c r="R256" s="339">
        <v>81.802971137784127</v>
      </c>
    </row>
    <row r="257" spans="1:20" hidden="1" outlineLevel="1" x14ac:dyDescent="0.3">
      <c r="C257" s="307">
        <v>2074</v>
      </c>
      <c r="D257" s="307">
        <v>90</v>
      </c>
      <c r="E257" s="307">
        <v>55</v>
      </c>
      <c r="F257" s="307">
        <v>1</v>
      </c>
      <c r="G257" s="307">
        <v>0.27786614903500484</v>
      </c>
      <c r="H257" s="307">
        <v>8.5102123513730102E-2</v>
      </c>
      <c r="I257" s="307">
        <v>1.4500653490431288</v>
      </c>
      <c r="J257" s="307">
        <v>5.0043893588586359</v>
      </c>
      <c r="K257" s="339">
        <v>2100</v>
      </c>
      <c r="L257" s="339">
        <v>15239.05236504224</v>
      </c>
      <c r="M257" s="339">
        <v>4234.4167956170704</v>
      </c>
      <c r="N257" s="339">
        <v>360.35786114921717</v>
      </c>
      <c r="O257" s="339">
        <v>0.2</v>
      </c>
      <c r="P257" s="339">
        <v>3047.8104730084483</v>
      </c>
      <c r="Q257" s="339">
        <v>846.88335912341404</v>
      </c>
      <c r="R257" s="339">
        <v>72.071572229843426</v>
      </c>
    </row>
    <row r="258" spans="1:20" collapsed="1" x14ac:dyDescent="0.3"/>
    <row r="259" spans="1:20" ht="15" thickBot="1" x14ac:dyDescent="0.35"/>
    <row r="260" spans="1:20" ht="15" thickBot="1" x14ac:dyDescent="0.35">
      <c r="C260" s="399" t="s">
        <v>0</v>
      </c>
      <c r="D260" s="400"/>
      <c r="E260" s="400"/>
      <c r="F260" s="400"/>
      <c r="G260" s="400"/>
      <c r="H260" s="400"/>
      <c r="I260" s="400"/>
      <c r="J260" s="400"/>
      <c r="K260" s="400"/>
      <c r="L260" s="400"/>
      <c r="M260" s="400"/>
      <c r="N260" s="400"/>
      <c r="O260" s="400"/>
      <c r="P260" s="400"/>
      <c r="Q260" s="400"/>
      <c r="R260" s="400"/>
      <c r="S260" s="400"/>
      <c r="T260" s="401"/>
    </row>
    <row r="265" spans="1:20" s="265" customFormat="1" x14ac:dyDescent="0.3">
      <c r="A265" s="265" t="s">
        <v>1188</v>
      </c>
    </row>
    <row r="267" spans="1:20" x14ac:dyDescent="0.3">
      <c r="C267" s="398"/>
      <c r="D267" s="397" t="s">
        <v>1302</v>
      </c>
      <c r="E267" s="396"/>
      <c r="F267" s="397" t="s">
        <v>1301</v>
      </c>
      <c r="G267" s="396"/>
      <c r="H267" s="363"/>
      <c r="I267" s="363"/>
      <c r="J267" s="363"/>
      <c r="K267" s="363"/>
      <c r="L267" s="363"/>
      <c r="M267" s="363"/>
      <c r="N267" s="363"/>
      <c r="O267" s="363"/>
    </row>
    <row r="268" spans="1:20" x14ac:dyDescent="0.3">
      <c r="C268" s="387"/>
      <c r="D268" s="395" t="s">
        <v>1333</v>
      </c>
      <c r="E268" s="394" t="s">
        <v>1332</v>
      </c>
      <c r="F268" s="393" t="s">
        <v>1333</v>
      </c>
      <c r="G268" s="392" t="s">
        <v>1332</v>
      </c>
      <c r="H268" s="363"/>
      <c r="I268" s="363"/>
      <c r="J268" s="363"/>
      <c r="K268" s="363"/>
      <c r="L268" s="363"/>
      <c r="M268" s="363"/>
      <c r="N268" s="363"/>
      <c r="O268" s="363"/>
    </row>
    <row r="269" spans="1:20" x14ac:dyDescent="0.3">
      <c r="C269" s="391" t="s">
        <v>1331</v>
      </c>
      <c r="D269" s="389">
        <f>+SUM(N45:N95)</f>
        <v>73370.020327035265</v>
      </c>
      <c r="E269" s="390">
        <f>+SUM(N99:N149)</f>
        <v>73370.020327035265</v>
      </c>
      <c r="F269" s="389">
        <f>+SUM(N153:N203)</f>
        <v>41325.049442749943</v>
      </c>
      <c r="G269" s="388">
        <f>+SUM(N207:N257)</f>
        <v>41325.049442749943</v>
      </c>
      <c r="H269" s="363"/>
      <c r="I269" s="363"/>
      <c r="J269" s="363"/>
      <c r="K269" s="363"/>
      <c r="L269" s="363"/>
      <c r="M269" s="363"/>
      <c r="N269" s="363"/>
      <c r="O269" s="363"/>
    </row>
    <row r="270" spans="1:20" x14ac:dyDescent="0.3">
      <c r="C270" s="387" t="s">
        <v>1330</v>
      </c>
      <c r="D270" s="385">
        <f>+SUM(R45:R95)</f>
        <v>5101.2467803099717</v>
      </c>
      <c r="E270" s="386">
        <f>+SUM(R99:R149)</f>
        <v>14674.004065407056</v>
      </c>
      <c r="F270" s="385">
        <f>+SUM(R153:R203)</f>
        <v>5101.2467803099717</v>
      </c>
      <c r="G270" s="384">
        <f>+SUM(R207:R257)</f>
        <v>8265.0098885499901</v>
      </c>
      <c r="H270" s="363"/>
      <c r="I270" s="363"/>
      <c r="J270" s="363"/>
      <c r="K270" s="363"/>
      <c r="L270" s="363"/>
      <c r="M270" s="363"/>
      <c r="N270" s="363"/>
      <c r="O270" s="363"/>
    </row>
    <row r="271" spans="1:20" x14ac:dyDescent="0.3">
      <c r="C271" s="383" t="s">
        <v>1329</v>
      </c>
      <c r="D271" s="381">
        <f>+D269-D270</f>
        <v>68268.773546725293</v>
      </c>
      <c r="E271" s="382">
        <f>+E269-E270</f>
        <v>58696.01626162821</v>
      </c>
      <c r="F271" s="381">
        <f>+F269-F270</f>
        <v>36223.802662439972</v>
      </c>
      <c r="G271" s="380">
        <f>+G269-G270</f>
        <v>33060.039554199953</v>
      </c>
      <c r="H271" s="363"/>
      <c r="I271" s="363"/>
      <c r="J271" s="363"/>
      <c r="K271" s="363"/>
      <c r="L271" s="363"/>
      <c r="M271" s="363"/>
      <c r="N271" s="363"/>
      <c r="O271" s="363"/>
    </row>
    <row r="272" spans="1:20" x14ac:dyDescent="0.3">
      <c r="C272" s="363"/>
      <c r="D272" s="363"/>
      <c r="E272" s="363"/>
      <c r="F272" s="363"/>
      <c r="G272" s="363"/>
      <c r="H272" s="363"/>
      <c r="I272" s="363"/>
      <c r="J272" s="363"/>
      <c r="K272" s="363"/>
      <c r="L272" s="363"/>
      <c r="M272" s="363"/>
      <c r="N272" s="363"/>
      <c r="O272" s="363"/>
    </row>
    <row r="273" spans="3:18" x14ac:dyDescent="0.3">
      <c r="C273" s="379" t="s">
        <v>1328</v>
      </c>
      <c r="D273" s="378"/>
      <c r="E273" s="377">
        <f>C20</f>
        <v>45292</v>
      </c>
      <c r="F273" s="363"/>
      <c r="G273" s="363"/>
      <c r="H273" s="363"/>
      <c r="I273" s="363"/>
      <c r="J273" s="363"/>
      <c r="K273" s="363"/>
      <c r="L273" s="376"/>
      <c r="M273" s="363"/>
      <c r="N273" s="363"/>
      <c r="O273" s="363"/>
    </row>
    <row r="274" spans="3:18" ht="43.2" x14ac:dyDescent="0.3">
      <c r="C274" s="375" t="s">
        <v>1327</v>
      </c>
      <c r="D274" s="375" t="s">
        <v>790</v>
      </c>
      <c r="E274" s="375" t="s">
        <v>7</v>
      </c>
      <c r="F274" s="375" t="s">
        <v>1326</v>
      </c>
      <c r="G274" s="375" t="s">
        <v>1325</v>
      </c>
      <c r="H274" s="375" t="s">
        <v>1324</v>
      </c>
      <c r="I274" s="375" t="s">
        <v>1323</v>
      </c>
      <c r="J274" s="375" t="s">
        <v>1322</v>
      </c>
      <c r="K274" s="374" t="s">
        <v>1236</v>
      </c>
      <c r="L274" s="374" t="s">
        <v>1235</v>
      </c>
      <c r="M274" s="374" t="s">
        <v>1129</v>
      </c>
      <c r="N274" s="373" t="s">
        <v>1321</v>
      </c>
      <c r="O274" s="373" t="s">
        <v>1240</v>
      </c>
      <c r="P274" s="373" t="s">
        <v>1320</v>
      </c>
      <c r="Q274" s="373" t="s">
        <v>1319</v>
      </c>
      <c r="R274" s="373" t="s">
        <v>1318</v>
      </c>
    </row>
    <row r="275" spans="3:18" x14ac:dyDescent="0.3">
      <c r="C275" s="372">
        <v>1</v>
      </c>
      <c r="D275" s="372">
        <v>1</v>
      </c>
      <c r="E275" s="370">
        <f>$C$22</f>
        <v>40</v>
      </c>
      <c r="F275" s="370">
        <f>E45</f>
        <v>5</v>
      </c>
      <c r="G275" s="361">
        <f>COUNTIF($F$45:$F$95,0)</f>
        <v>15</v>
      </c>
      <c r="H275" s="371">
        <f>$C$23</f>
        <v>43465</v>
      </c>
      <c r="I275" s="371">
        <v>50771</v>
      </c>
      <c r="J275" s="370">
        <f>F275+G275</f>
        <v>20</v>
      </c>
      <c r="K275" s="368">
        <f>+D271</f>
        <v>68268.773546725293</v>
      </c>
      <c r="L275" s="368">
        <f>K275*(F275/J275)</f>
        <v>17067.193386681323</v>
      </c>
      <c r="M275" s="368">
        <f>IF(G275=0,0,(1/J275)*K275)</f>
        <v>3413.4386773362648</v>
      </c>
      <c r="N275" s="369">
        <f>$C$21</f>
        <v>1000</v>
      </c>
      <c r="O275" s="368">
        <f>N275*L275</f>
        <v>17067193.386681322</v>
      </c>
      <c r="P275" s="368">
        <f>N275*M275</f>
        <v>3413438.6773362649</v>
      </c>
      <c r="Q275" s="341" t="b">
        <f>O275&lt;=$F$283</f>
        <v>0</v>
      </c>
      <c r="R275" s="341" t="b">
        <f>P275&lt;=$F$282</f>
        <v>0</v>
      </c>
    </row>
    <row r="276" spans="3:18" x14ac:dyDescent="0.3">
      <c r="C276" s="372">
        <v>1</v>
      </c>
      <c r="D276" s="372">
        <v>2</v>
      </c>
      <c r="E276" s="370">
        <f>$C$22</f>
        <v>40</v>
      </c>
      <c r="F276" s="370">
        <f>E99</f>
        <v>5</v>
      </c>
      <c r="G276" s="361">
        <f>COUNTIF($F$99:$F$149,0)</f>
        <v>15</v>
      </c>
      <c r="H276" s="371">
        <f>$C$23</f>
        <v>43465</v>
      </c>
      <c r="I276" s="371">
        <v>50771</v>
      </c>
      <c r="J276" s="370">
        <f>F276+G276</f>
        <v>20</v>
      </c>
      <c r="K276" s="368">
        <f>+E271</f>
        <v>58696.01626162821</v>
      </c>
      <c r="L276" s="368">
        <f>K276*(F276/J276)</f>
        <v>14674.004065407053</v>
      </c>
      <c r="M276" s="368">
        <f>IF(G276=0,0,(1/J276)*K276)</f>
        <v>2934.8008130814105</v>
      </c>
      <c r="N276" s="369">
        <f>$C$21</f>
        <v>1000</v>
      </c>
      <c r="O276" s="368">
        <f>N276*L276</f>
        <v>14674004.065407053</v>
      </c>
      <c r="P276" s="368">
        <f>N276*M276</f>
        <v>2934800.8130814107</v>
      </c>
      <c r="Q276" s="341" t="b">
        <f>O276&lt;=$F$283</f>
        <v>1</v>
      </c>
      <c r="R276" s="341" t="b">
        <f>P276&lt;=$F$282</f>
        <v>1</v>
      </c>
    </row>
    <row r="277" spans="3:18" x14ac:dyDescent="0.3">
      <c r="C277" s="372">
        <v>2</v>
      </c>
      <c r="D277" s="372">
        <v>1</v>
      </c>
      <c r="E277" s="370">
        <f>$C$22</f>
        <v>40</v>
      </c>
      <c r="F277" s="370">
        <f>E153</f>
        <v>5</v>
      </c>
      <c r="G277" s="361">
        <f>COUNTIF($F$153:$F$203,0)</f>
        <v>15</v>
      </c>
      <c r="H277" s="371">
        <f>$C$23</f>
        <v>43465</v>
      </c>
      <c r="I277" s="371">
        <v>50771</v>
      </c>
      <c r="J277" s="370">
        <f>F277+G277</f>
        <v>20</v>
      </c>
      <c r="K277" s="368">
        <f>+F271</f>
        <v>36223.802662439972</v>
      </c>
      <c r="L277" s="368">
        <f>K277*(F277/J277)</f>
        <v>9055.9506656099929</v>
      </c>
      <c r="M277" s="368">
        <f>IF(G277=0,0,(1/J277)*K277)</f>
        <v>1811.1901331219988</v>
      </c>
      <c r="N277" s="369">
        <f>$C$21</f>
        <v>1000</v>
      </c>
      <c r="O277" s="368">
        <f>N277*L277</f>
        <v>9055950.665609993</v>
      </c>
      <c r="P277" s="368">
        <f>N277*M277</f>
        <v>1811190.1331219987</v>
      </c>
      <c r="Q277" s="341" t="b">
        <f>O277&lt;=$F$283</f>
        <v>1</v>
      </c>
      <c r="R277" s="341" t="b">
        <f>P277&lt;=$F$282</f>
        <v>1</v>
      </c>
    </row>
    <row r="278" spans="3:18" x14ac:dyDescent="0.3">
      <c r="C278" s="372">
        <v>2</v>
      </c>
      <c r="D278" s="372">
        <v>2</v>
      </c>
      <c r="E278" s="370">
        <f>$C$22</f>
        <v>40</v>
      </c>
      <c r="F278" s="370">
        <f>E207</f>
        <v>5</v>
      </c>
      <c r="G278" s="361">
        <f>COUNTIF($F$207:$F$257,0)</f>
        <v>15</v>
      </c>
      <c r="H278" s="371">
        <f>$C$23</f>
        <v>43465</v>
      </c>
      <c r="I278" s="371">
        <v>50771</v>
      </c>
      <c r="J278" s="370">
        <f>F278+G278</f>
        <v>20</v>
      </c>
      <c r="K278" s="368">
        <f>+G271</f>
        <v>33060.039554199953</v>
      </c>
      <c r="L278" s="368">
        <f>K278*(F278/J278)</f>
        <v>8265.0098885499883</v>
      </c>
      <c r="M278" s="368">
        <f>IF(G278=0,0,(1/J278)*K278)</f>
        <v>1653.0019777099978</v>
      </c>
      <c r="N278" s="369">
        <f>$C$21</f>
        <v>1000</v>
      </c>
      <c r="O278" s="368">
        <f>N278*L278</f>
        <v>8265009.8885499882</v>
      </c>
      <c r="P278" s="368">
        <f>N278*M278</f>
        <v>1653001.9777099979</v>
      </c>
      <c r="Q278" s="341" t="b">
        <f>O278&lt;=$F$283</f>
        <v>1</v>
      </c>
      <c r="R278" s="341" t="b">
        <f>P278&lt;=$F$282</f>
        <v>1</v>
      </c>
    </row>
    <row r="281" spans="3:18" x14ac:dyDescent="0.3">
      <c r="C281" s="144" t="s">
        <v>1317</v>
      </c>
    </row>
    <row r="282" spans="3:18" x14ac:dyDescent="0.3">
      <c r="C282" s="363" t="s">
        <v>1316</v>
      </c>
      <c r="D282" s="363"/>
      <c r="E282" s="363"/>
      <c r="F282" s="367">
        <f>C15</f>
        <v>3000000</v>
      </c>
      <c r="G282" s="363" t="s">
        <v>1315</v>
      </c>
      <c r="H282" s="363"/>
      <c r="I282" s="363"/>
      <c r="J282" s="363"/>
      <c r="K282" s="363"/>
    </row>
    <row r="283" spans="3:18" x14ac:dyDescent="0.3">
      <c r="C283" s="363" t="s">
        <v>1314</v>
      </c>
      <c r="D283" s="363"/>
      <c r="E283" s="363"/>
      <c r="F283" s="366">
        <f>C16*C17</f>
        <v>15000000</v>
      </c>
      <c r="G283" s="365" t="s">
        <v>1313</v>
      </c>
      <c r="H283" s="363"/>
      <c r="I283" s="363"/>
      <c r="J283" s="363"/>
      <c r="K283" s="363"/>
    </row>
    <row r="284" spans="3:18" x14ac:dyDescent="0.3">
      <c r="C284" s="363"/>
      <c r="D284" s="363"/>
      <c r="E284" s="363"/>
      <c r="F284" s="363"/>
      <c r="G284" s="363"/>
      <c r="H284" s="363"/>
      <c r="I284" s="363"/>
      <c r="J284" s="363"/>
      <c r="K284" s="363"/>
    </row>
    <row r="285" spans="3:18" x14ac:dyDescent="0.3">
      <c r="C285" s="364" t="s">
        <v>1312</v>
      </c>
      <c r="D285" s="363"/>
      <c r="E285" s="363"/>
      <c r="F285" s="363"/>
      <c r="G285" s="363"/>
      <c r="H285" s="363"/>
      <c r="I285" s="363"/>
      <c r="J285" s="363"/>
      <c r="K285" s="363"/>
    </row>
    <row r="286" spans="3:18" x14ac:dyDescent="0.3">
      <c r="C286" s="278" t="s">
        <v>1311</v>
      </c>
      <c r="D286" s="278"/>
      <c r="E286" s="278"/>
      <c r="F286" s="278"/>
      <c r="G286" s="278"/>
      <c r="H286" s="278"/>
      <c r="I286" s="278"/>
      <c r="J286" s="363"/>
      <c r="K286" s="363"/>
    </row>
    <row r="287" spans="3:18" x14ac:dyDescent="0.3">
      <c r="C287" s="278" t="s">
        <v>1310</v>
      </c>
      <c r="D287" s="278"/>
      <c r="E287" s="278"/>
      <c r="F287" s="278"/>
      <c r="G287" s="278"/>
      <c r="H287" s="278"/>
      <c r="I287" s="278"/>
      <c r="J287" s="278"/>
      <c r="K287" s="363"/>
    </row>
    <row r="288" spans="3:18" x14ac:dyDescent="0.3">
      <c r="C288" s="363"/>
      <c r="D288" s="363"/>
      <c r="E288" s="363"/>
      <c r="F288" s="363"/>
      <c r="G288" s="363"/>
      <c r="H288" s="363"/>
      <c r="I288" s="363"/>
      <c r="J288" s="363"/>
      <c r="K288" s="363"/>
    </row>
    <row r="289" spans="1:18" x14ac:dyDescent="0.3">
      <c r="C289" s="364" t="s">
        <v>1309</v>
      </c>
      <c r="D289" s="363"/>
      <c r="E289" s="363"/>
      <c r="F289" s="363"/>
      <c r="G289" s="363"/>
      <c r="H289" s="363"/>
      <c r="I289" s="363"/>
      <c r="J289" s="363"/>
      <c r="K289" s="363"/>
    </row>
    <row r="290" spans="1:18" x14ac:dyDescent="0.3">
      <c r="C290" s="278" t="s">
        <v>1308</v>
      </c>
      <c r="D290" s="278"/>
      <c r="E290" s="278"/>
      <c r="F290" s="278"/>
      <c r="G290" s="278"/>
      <c r="H290" s="278"/>
      <c r="I290" s="278"/>
      <c r="J290" s="278"/>
      <c r="K290" s="278"/>
    </row>
    <row r="291" spans="1:18" x14ac:dyDescent="0.3">
      <c r="C291" s="278" t="s">
        <v>1307</v>
      </c>
      <c r="D291" s="278"/>
      <c r="E291" s="278"/>
      <c r="F291" s="278"/>
      <c r="G291" s="278"/>
      <c r="H291" s="278"/>
      <c r="I291" s="278"/>
      <c r="J291" s="278"/>
      <c r="K291" s="363"/>
    </row>
    <row r="295" spans="1:18" s="265" customFormat="1" x14ac:dyDescent="0.3">
      <c r="A295" s="265" t="s">
        <v>1306</v>
      </c>
    </row>
    <row r="297" spans="1:18" x14ac:dyDescent="0.3">
      <c r="C297" s="264" t="s">
        <v>1305</v>
      </c>
    </row>
    <row r="299" spans="1:18" x14ac:dyDescent="0.3">
      <c r="C299" s="278" t="s">
        <v>1304</v>
      </c>
      <c r="D299" s="278"/>
      <c r="E299" s="278"/>
      <c r="F299" s="278"/>
      <c r="G299" s="278"/>
      <c r="H299" s="278"/>
      <c r="I299" s="278"/>
      <c r="J299" s="278"/>
      <c r="K299" s="278"/>
      <c r="L299" s="278"/>
      <c r="M299" s="278"/>
      <c r="N299" s="278"/>
      <c r="O299" s="278"/>
      <c r="P299" s="278"/>
      <c r="Q299" s="278"/>
      <c r="R299" s="278"/>
    </row>
    <row r="300" spans="1:18" x14ac:dyDescent="0.3">
      <c r="C300" s="278" t="s">
        <v>1303</v>
      </c>
      <c r="D300" s="278"/>
      <c r="E300" s="278"/>
      <c r="F300" s="278"/>
      <c r="G300" s="278"/>
      <c r="H300" s="278"/>
      <c r="I300" s="278"/>
    </row>
    <row r="303" spans="1:18" x14ac:dyDescent="0.3">
      <c r="C303" s="361"/>
      <c r="D303" s="434" t="s">
        <v>1302</v>
      </c>
      <c r="E303" s="434"/>
      <c r="F303" s="434" t="s">
        <v>1301</v>
      </c>
      <c r="G303" s="434"/>
      <c r="H303" s="362" t="s">
        <v>1300</v>
      </c>
    </row>
    <row r="304" spans="1:18" x14ac:dyDescent="0.3">
      <c r="C304" s="361" t="s">
        <v>291</v>
      </c>
      <c r="D304" s="361" t="s">
        <v>1197</v>
      </c>
      <c r="E304" s="361" t="s">
        <v>1299</v>
      </c>
      <c r="F304" s="361" t="s">
        <v>1197</v>
      </c>
      <c r="G304" s="361" t="s">
        <v>1299</v>
      </c>
      <c r="H304" s="360" t="s">
        <v>1298</v>
      </c>
    </row>
    <row r="305" spans="3:8" x14ac:dyDescent="0.3">
      <c r="C305" s="307">
        <v>2024</v>
      </c>
      <c r="D305" s="307">
        <f t="shared" ref="D305:D336" si="0">J45</f>
        <v>1</v>
      </c>
      <c r="E305" s="307"/>
      <c r="F305" s="307">
        <f t="shared" ref="F305:F336" si="1">J153</f>
        <v>1</v>
      </c>
      <c r="G305" s="307"/>
      <c r="H305" s="307"/>
    </row>
    <row r="306" spans="3:8" x14ac:dyDescent="0.3">
      <c r="C306" s="307">
        <v>2025</v>
      </c>
      <c r="D306" s="307">
        <f t="shared" si="0"/>
        <v>1.075</v>
      </c>
      <c r="E306" s="307">
        <f t="shared" ref="E306:E337" si="2">D306/D305-1</f>
        <v>7.4999999999999956E-2</v>
      </c>
      <c r="F306" s="307">
        <f t="shared" si="1"/>
        <v>1.0549999999999999</v>
      </c>
      <c r="G306" s="307">
        <f t="shared" ref="G306:G337" si="3">F306/F305-1</f>
        <v>5.4999999999999938E-2</v>
      </c>
      <c r="H306" s="307">
        <f t="shared" ref="H306:H337" si="4">E306-G306</f>
        <v>2.0000000000000018E-2</v>
      </c>
    </row>
    <row r="307" spans="3:8" x14ac:dyDescent="0.3">
      <c r="C307" s="307">
        <v>2026</v>
      </c>
      <c r="D307" s="307">
        <f t="shared" si="0"/>
        <v>1.1529374999999999</v>
      </c>
      <c r="E307" s="307">
        <f t="shared" si="2"/>
        <v>7.2500000000000009E-2</v>
      </c>
      <c r="F307" s="307">
        <f t="shared" si="1"/>
        <v>1.1103874999999999</v>
      </c>
      <c r="G307" s="307">
        <f t="shared" si="3"/>
        <v>5.2499999999999991E-2</v>
      </c>
      <c r="H307" s="307">
        <f t="shared" si="4"/>
        <v>2.0000000000000018E-2</v>
      </c>
    </row>
    <row r="308" spans="3:8" x14ac:dyDescent="0.3">
      <c r="C308" s="307">
        <v>2027</v>
      </c>
      <c r="D308" s="307">
        <f t="shared" si="0"/>
        <v>1.233643125</v>
      </c>
      <c r="E308" s="307">
        <f t="shared" si="2"/>
        <v>7.0000000000000062E-2</v>
      </c>
      <c r="F308" s="307">
        <f t="shared" si="1"/>
        <v>1.1659068749999999</v>
      </c>
      <c r="G308" s="307">
        <f t="shared" si="3"/>
        <v>5.0000000000000044E-2</v>
      </c>
      <c r="H308" s="307">
        <f t="shared" si="4"/>
        <v>2.0000000000000018E-2</v>
      </c>
    </row>
    <row r="309" spans="3:8" x14ac:dyDescent="0.3">
      <c r="C309" s="307">
        <v>2028</v>
      </c>
      <c r="D309" s="307">
        <f t="shared" si="0"/>
        <v>1.3169140359374998</v>
      </c>
      <c r="E309" s="307">
        <f t="shared" si="2"/>
        <v>6.7499999999999893E-2</v>
      </c>
      <c r="F309" s="307">
        <f t="shared" si="1"/>
        <v>1.2212874515624998</v>
      </c>
      <c r="G309" s="307">
        <f t="shared" si="3"/>
        <v>4.7499999999999876E-2</v>
      </c>
      <c r="H309" s="307">
        <f t="shared" si="4"/>
        <v>2.0000000000000018E-2</v>
      </c>
    </row>
    <row r="310" spans="3:8" x14ac:dyDescent="0.3">
      <c r="C310" s="307">
        <v>2029</v>
      </c>
      <c r="D310" s="307">
        <f t="shared" si="0"/>
        <v>1.4025134482734372</v>
      </c>
      <c r="E310" s="307">
        <f t="shared" si="2"/>
        <v>6.4999999999999947E-2</v>
      </c>
      <c r="F310" s="307">
        <f t="shared" si="1"/>
        <v>1.2762453868828123</v>
      </c>
      <c r="G310" s="307">
        <f t="shared" si="3"/>
        <v>4.4999999999999929E-2</v>
      </c>
      <c r="H310" s="307">
        <f t="shared" si="4"/>
        <v>2.0000000000000018E-2</v>
      </c>
    </row>
    <row r="311" spans="3:8" x14ac:dyDescent="0.3">
      <c r="C311" s="307">
        <v>2030</v>
      </c>
      <c r="D311" s="307">
        <f t="shared" si="0"/>
        <v>1.4901705387905271</v>
      </c>
      <c r="E311" s="307">
        <f t="shared" si="2"/>
        <v>6.25E-2</v>
      </c>
      <c r="F311" s="307">
        <f t="shared" si="1"/>
        <v>1.3304858158253319</v>
      </c>
      <c r="G311" s="307">
        <f t="shared" si="3"/>
        <v>4.2499999999999982E-2</v>
      </c>
      <c r="H311" s="307">
        <f t="shared" si="4"/>
        <v>2.0000000000000018E-2</v>
      </c>
    </row>
    <row r="312" spans="3:8" x14ac:dyDescent="0.3">
      <c r="C312" s="307">
        <v>2031</v>
      </c>
      <c r="D312" s="307">
        <f t="shared" si="0"/>
        <v>1.5795807711179588</v>
      </c>
      <c r="E312" s="307">
        <f t="shared" si="2"/>
        <v>6.0000000000000053E-2</v>
      </c>
      <c r="F312" s="307">
        <f t="shared" si="1"/>
        <v>1.3837052484583452</v>
      </c>
      <c r="G312" s="307">
        <f t="shared" si="3"/>
        <v>4.0000000000000036E-2</v>
      </c>
      <c r="H312" s="307">
        <f t="shared" si="4"/>
        <v>2.0000000000000018E-2</v>
      </c>
    </row>
    <row r="313" spans="3:8" x14ac:dyDescent="0.3">
      <c r="C313" s="307">
        <v>2032</v>
      </c>
      <c r="D313" s="307">
        <f t="shared" si="0"/>
        <v>1.6704066654572411</v>
      </c>
      <c r="E313" s="307">
        <f t="shared" si="2"/>
        <v>5.7499999999999885E-2</v>
      </c>
      <c r="F313" s="307">
        <f t="shared" si="1"/>
        <v>1.4355941952755333</v>
      </c>
      <c r="G313" s="307">
        <f t="shared" si="3"/>
        <v>3.7500000000000089E-2</v>
      </c>
      <c r="H313" s="307">
        <f t="shared" si="4"/>
        <v>1.9999999999999796E-2</v>
      </c>
    </row>
    <row r="314" spans="3:8" x14ac:dyDescent="0.3">
      <c r="C314" s="307">
        <v>2033</v>
      </c>
      <c r="D314" s="307">
        <f t="shared" si="0"/>
        <v>1.7622790320573893</v>
      </c>
      <c r="E314" s="307">
        <f t="shared" si="2"/>
        <v>5.4999999999999938E-2</v>
      </c>
      <c r="F314" s="307">
        <f t="shared" si="1"/>
        <v>1.4858399921101768</v>
      </c>
      <c r="G314" s="307">
        <f t="shared" si="3"/>
        <v>3.499999999999992E-2</v>
      </c>
      <c r="H314" s="307">
        <f t="shared" si="4"/>
        <v>2.0000000000000018E-2</v>
      </c>
    </row>
    <row r="315" spans="3:8" x14ac:dyDescent="0.3">
      <c r="C315" s="307">
        <v>2034</v>
      </c>
      <c r="D315" s="307">
        <f t="shared" si="0"/>
        <v>1.8547986812404023</v>
      </c>
      <c r="E315" s="307">
        <f t="shared" si="2"/>
        <v>5.2499999999999991E-2</v>
      </c>
      <c r="F315" s="307">
        <f t="shared" si="1"/>
        <v>1.5341297918537575</v>
      </c>
      <c r="G315" s="307">
        <f t="shared" si="3"/>
        <v>3.2499999999999973E-2</v>
      </c>
      <c r="H315" s="307">
        <f t="shared" si="4"/>
        <v>2.0000000000000018E-2</v>
      </c>
    </row>
    <row r="316" spans="3:8" x14ac:dyDescent="0.3">
      <c r="C316" s="307">
        <v>2035</v>
      </c>
      <c r="D316" s="307">
        <f t="shared" si="0"/>
        <v>1.9475386153024226</v>
      </c>
      <c r="E316" s="307">
        <f t="shared" si="2"/>
        <v>5.0000000000000044E-2</v>
      </c>
      <c r="F316" s="307">
        <f t="shared" si="1"/>
        <v>1.5801536856093703</v>
      </c>
      <c r="G316" s="307">
        <f t="shared" si="3"/>
        <v>3.0000000000000027E-2</v>
      </c>
      <c r="H316" s="307">
        <f t="shared" si="4"/>
        <v>2.0000000000000018E-2</v>
      </c>
    </row>
    <row r="317" spans="3:8" x14ac:dyDescent="0.3">
      <c r="C317" s="307">
        <v>2036</v>
      </c>
      <c r="D317" s="307">
        <f t="shared" si="0"/>
        <v>2.0449155460675437</v>
      </c>
      <c r="E317" s="307">
        <f t="shared" si="2"/>
        <v>5.0000000000000044E-2</v>
      </c>
      <c r="F317" s="307">
        <f t="shared" si="1"/>
        <v>1.6275582961776514</v>
      </c>
      <c r="G317" s="307">
        <f t="shared" si="3"/>
        <v>3.0000000000000027E-2</v>
      </c>
      <c r="H317" s="307">
        <f t="shared" si="4"/>
        <v>2.0000000000000018E-2</v>
      </c>
    </row>
    <row r="318" spans="3:8" x14ac:dyDescent="0.3">
      <c r="C318" s="307">
        <v>2037</v>
      </c>
      <c r="D318" s="307">
        <f t="shared" si="0"/>
        <v>2.1471613233709208</v>
      </c>
      <c r="E318" s="307">
        <f t="shared" si="2"/>
        <v>5.0000000000000044E-2</v>
      </c>
      <c r="F318" s="307">
        <f t="shared" si="1"/>
        <v>1.6763850450629809</v>
      </c>
      <c r="G318" s="307">
        <f t="shared" si="3"/>
        <v>3.0000000000000027E-2</v>
      </c>
      <c r="H318" s="307">
        <f t="shared" si="4"/>
        <v>2.0000000000000018E-2</v>
      </c>
    </row>
    <row r="319" spans="3:8" x14ac:dyDescent="0.3">
      <c r="C319" s="307">
        <v>2038</v>
      </c>
      <c r="D319" s="307">
        <f t="shared" si="0"/>
        <v>2.2545193895394671</v>
      </c>
      <c r="E319" s="307">
        <f t="shared" si="2"/>
        <v>5.0000000000000044E-2</v>
      </c>
      <c r="F319" s="307">
        <f t="shared" si="1"/>
        <v>1.7266765964148705</v>
      </c>
      <c r="G319" s="307">
        <f t="shared" si="3"/>
        <v>3.0000000000000027E-2</v>
      </c>
      <c r="H319" s="307">
        <f t="shared" si="4"/>
        <v>2.0000000000000018E-2</v>
      </c>
    </row>
    <row r="320" spans="3:8" x14ac:dyDescent="0.3">
      <c r="C320" s="307">
        <v>2039</v>
      </c>
      <c r="D320" s="307">
        <f t="shared" si="0"/>
        <v>2.3672453590164406</v>
      </c>
      <c r="E320" s="307">
        <f t="shared" si="2"/>
        <v>5.0000000000000044E-2</v>
      </c>
      <c r="F320" s="307">
        <f t="shared" si="1"/>
        <v>1.7784768943073166</v>
      </c>
      <c r="G320" s="307">
        <f t="shared" si="3"/>
        <v>3.0000000000000027E-2</v>
      </c>
      <c r="H320" s="307">
        <f t="shared" si="4"/>
        <v>2.0000000000000018E-2</v>
      </c>
    </row>
    <row r="321" spans="3:8" x14ac:dyDescent="0.3">
      <c r="C321" s="307">
        <v>2040</v>
      </c>
      <c r="D321" s="307">
        <f t="shared" si="0"/>
        <v>2.4856076269672629</v>
      </c>
      <c r="E321" s="307">
        <f t="shared" si="2"/>
        <v>5.0000000000000044E-2</v>
      </c>
      <c r="F321" s="307">
        <f t="shared" si="1"/>
        <v>1.8318312011365361</v>
      </c>
      <c r="G321" s="307">
        <f t="shared" si="3"/>
        <v>3.0000000000000027E-2</v>
      </c>
      <c r="H321" s="307">
        <f t="shared" si="4"/>
        <v>2.0000000000000018E-2</v>
      </c>
    </row>
    <row r="322" spans="3:8" x14ac:dyDescent="0.3">
      <c r="C322" s="307">
        <v>2041</v>
      </c>
      <c r="D322" s="307">
        <f t="shared" si="0"/>
        <v>2.6098880083156262</v>
      </c>
      <c r="E322" s="307">
        <f t="shared" si="2"/>
        <v>5.0000000000000044E-2</v>
      </c>
      <c r="F322" s="307">
        <f t="shared" si="1"/>
        <v>1.8867861371706323</v>
      </c>
      <c r="G322" s="307">
        <f t="shared" si="3"/>
        <v>3.0000000000000027E-2</v>
      </c>
      <c r="H322" s="307">
        <f t="shared" si="4"/>
        <v>2.0000000000000018E-2</v>
      </c>
    </row>
    <row r="323" spans="3:8" x14ac:dyDescent="0.3">
      <c r="C323" s="307">
        <v>2042</v>
      </c>
      <c r="D323" s="307">
        <f t="shared" si="0"/>
        <v>2.7403824087314077</v>
      </c>
      <c r="E323" s="307">
        <f t="shared" si="2"/>
        <v>5.0000000000000044E-2</v>
      </c>
      <c r="F323" s="307">
        <f t="shared" si="1"/>
        <v>1.9433897212857514</v>
      </c>
      <c r="G323" s="307">
        <f t="shared" si="3"/>
        <v>3.0000000000000027E-2</v>
      </c>
      <c r="H323" s="307">
        <f t="shared" si="4"/>
        <v>2.0000000000000018E-2</v>
      </c>
    </row>
    <row r="324" spans="3:8" x14ac:dyDescent="0.3">
      <c r="C324" s="307">
        <v>2043</v>
      </c>
      <c r="D324" s="307">
        <f t="shared" si="0"/>
        <v>2.8774015291679782</v>
      </c>
      <c r="E324" s="307">
        <f t="shared" si="2"/>
        <v>5.0000000000000044E-2</v>
      </c>
      <c r="F324" s="307">
        <f t="shared" si="1"/>
        <v>2.0016914129243242</v>
      </c>
      <c r="G324" s="307">
        <f t="shared" si="3"/>
        <v>3.0000000000000027E-2</v>
      </c>
      <c r="H324" s="307">
        <f t="shared" si="4"/>
        <v>2.0000000000000018E-2</v>
      </c>
    </row>
    <row r="325" spans="3:8" x14ac:dyDescent="0.3">
      <c r="C325" s="307">
        <v>2044</v>
      </c>
      <c r="D325" s="307">
        <f t="shared" si="0"/>
        <v>3.0212716056263771</v>
      </c>
      <c r="E325" s="307">
        <f t="shared" si="2"/>
        <v>5.0000000000000044E-2</v>
      </c>
      <c r="F325" s="307">
        <f t="shared" si="1"/>
        <v>2.0617421553120541</v>
      </c>
      <c r="G325" s="307">
        <f t="shared" si="3"/>
        <v>3.0000000000000027E-2</v>
      </c>
      <c r="H325" s="307">
        <f t="shared" si="4"/>
        <v>2.0000000000000018E-2</v>
      </c>
    </row>
    <row r="326" spans="3:8" x14ac:dyDescent="0.3">
      <c r="C326" s="307">
        <v>2045</v>
      </c>
      <c r="D326" s="307">
        <f t="shared" si="0"/>
        <v>3.1723351859076963</v>
      </c>
      <c r="E326" s="307">
        <f t="shared" si="2"/>
        <v>5.0000000000000044E-2</v>
      </c>
      <c r="F326" s="307">
        <f t="shared" si="1"/>
        <v>2.1235944199714156</v>
      </c>
      <c r="G326" s="307">
        <f t="shared" si="3"/>
        <v>3.0000000000000027E-2</v>
      </c>
      <c r="H326" s="307">
        <f t="shared" si="4"/>
        <v>2.0000000000000018E-2</v>
      </c>
    </row>
    <row r="327" spans="3:8" x14ac:dyDescent="0.3">
      <c r="C327" s="307">
        <v>2046</v>
      </c>
      <c r="D327" s="307">
        <f t="shared" si="0"/>
        <v>3.3309519452030814</v>
      </c>
      <c r="E327" s="307">
        <f t="shared" si="2"/>
        <v>5.0000000000000044E-2</v>
      </c>
      <c r="F327" s="307">
        <f t="shared" si="1"/>
        <v>2.1873022525705581</v>
      </c>
      <c r="G327" s="307">
        <f t="shared" si="3"/>
        <v>3.0000000000000027E-2</v>
      </c>
      <c r="H327" s="307">
        <f t="shared" si="4"/>
        <v>2.0000000000000018E-2</v>
      </c>
    </row>
    <row r="328" spans="3:8" x14ac:dyDescent="0.3">
      <c r="C328" s="307">
        <v>2047</v>
      </c>
      <c r="D328" s="307">
        <f t="shared" si="0"/>
        <v>3.4974995424632356</v>
      </c>
      <c r="E328" s="307">
        <f t="shared" si="2"/>
        <v>5.0000000000000044E-2</v>
      </c>
      <c r="F328" s="307">
        <f t="shared" si="1"/>
        <v>2.2529213201476748</v>
      </c>
      <c r="G328" s="307">
        <f t="shared" si="3"/>
        <v>3.0000000000000027E-2</v>
      </c>
      <c r="H328" s="307">
        <f t="shared" si="4"/>
        <v>2.0000000000000018E-2</v>
      </c>
    </row>
    <row r="329" spans="3:8" x14ac:dyDescent="0.3">
      <c r="C329" s="307">
        <v>2048</v>
      </c>
      <c r="D329" s="307">
        <f t="shared" si="0"/>
        <v>3.6723745195863975</v>
      </c>
      <c r="E329" s="307">
        <f t="shared" si="2"/>
        <v>5.0000000000000044E-2</v>
      </c>
      <c r="F329" s="307">
        <f t="shared" si="1"/>
        <v>2.3205089597521051</v>
      </c>
      <c r="G329" s="307">
        <f t="shared" si="3"/>
        <v>3.0000000000000027E-2</v>
      </c>
      <c r="H329" s="307">
        <f t="shared" si="4"/>
        <v>2.0000000000000018E-2</v>
      </c>
    </row>
    <row r="330" spans="3:8" x14ac:dyDescent="0.3">
      <c r="C330" s="307">
        <v>2049</v>
      </c>
      <c r="D330" s="307">
        <f t="shared" si="0"/>
        <v>3.8559932455657173</v>
      </c>
      <c r="E330" s="307">
        <f t="shared" si="2"/>
        <v>5.0000000000000044E-2</v>
      </c>
      <c r="F330" s="307">
        <f t="shared" si="1"/>
        <v>2.3901242285446682</v>
      </c>
      <c r="G330" s="307">
        <f t="shared" si="3"/>
        <v>3.0000000000000027E-2</v>
      </c>
      <c r="H330" s="307">
        <f t="shared" si="4"/>
        <v>2.0000000000000018E-2</v>
      </c>
    </row>
    <row r="331" spans="3:8" x14ac:dyDescent="0.3">
      <c r="C331" s="307">
        <v>2050</v>
      </c>
      <c r="D331" s="307">
        <f t="shared" si="0"/>
        <v>4.0487929078440033</v>
      </c>
      <c r="E331" s="307">
        <f t="shared" si="2"/>
        <v>5.0000000000000044E-2</v>
      </c>
      <c r="F331" s="307">
        <f t="shared" si="1"/>
        <v>2.4618279554010085</v>
      </c>
      <c r="G331" s="307">
        <f t="shared" si="3"/>
        <v>3.0000000000000027E-2</v>
      </c>
      <c r="H331" s="307">
        <f t="shared" si="4"/>
        <v>2.0000000000000018E-2</v>
      </c>
    </row>
    <row r="332" spans="3:8" x14ac:dyDescent="0.3">
      <c r="C332" s="307">
        <v>2051</v>
      </c>
      <c r="D332" s="307">
        <f t="shared" si="0"/>
        <v>4.2512325532362034</v>
      </c>
      <c r="E332" s="307">
        <f t="shared" si="2"/>
        <v>5.0000000000000044E-2</v>
      </c>
      <c r="F332" s="307">
        <f t="shared" si="1"/>
        <v>2.5356827940630389</v>
      </c>
      <c r="G332" s="307">
        <f t="shared" si="3"/>
        <v>3.0000000000000027E-2</v>
      </c>
      <c r="H332" s="307">
        <f t="shared" si="4"/>
        <v>2.0000000000000018E-2</v>
      </c>
    </row>
    <row r="333" spans="3:8" x14ac:dyDescent="0.3">
      <c r="C333" s="307">
        <v>2052</v>
      </c>
      <c r="D333" s="307">
        <f t="shared" si="0"/>
        <v>4.4637941808980139</v>
      </c>
      <c r="E333" s="307">
        <f t="shared" si="2"/>
        <v>5.0000000000000044E-2</v>
      </c>
      <c r="F333" s="307">
        <f t="shared" si="1"/>
        <v>2.6117532778849299</v>
      </c>
      <c r="G333" s="307">
        <f t="shared" si="3"/>
        <v>3.0000000000000027E-2</v>
      </c>
      <c r="H333" s="307">
        <f t="shared" si="4"/>
        <v>2.0000000000000018E-2</v>
      </c>
    </row>
    <row r="334" spans="3:8" x14ac:dyDescent="0.3">
      <c r="C334" s="307">
        <v>2053</v>
      </c>
      <c r="D334" s="307">
        <f t="shared" si="0"/>
        <v>4.6869838899429146</v>
      </c>
      <c r="E334" s="307">
        <f t="shared" si="2"/>
        <v>5.0000000000000044E-2</v>
      </c>
      <c r="F334" s="307">
        <f t="shared" si="1"/>
        <v>2.690105876221478</v>
      </c>
      <c r="G334" s="307">
        <f t="shared" si="3"/>
        <v>3.0000000000000027E-2</v>
      </c>
      <c r="H334" s="307">
        <f t="shared" si="4"/>
        <v>2.0000000000000018E-2</v>
      </c>
    </row>
    <row r="335" spans="3:8" x14ac:dyDescent="0.3">
      <c r="C335" s="307">
        <v>2054</v>
      </c>
      <c r="D335" s="307">
        <f t="shared" si="0"/>
        <v>4.9213330844400609</v>
      </c>
      <c r="E335" s="307">
        <f t="shared" si="2"/>
        <v>5.0000000000000044E-2</v>
      </c>
      <c r="F335" s="307">
        <f t="shared" si="1"/>
        <v>2.7708090525081226</v>
      </c>
      <c r="G335" s="307">
        <f t="shared" si="3"/>
        <v>3.0000000000000027E-2</v>
      </c>
      <c r="H335" s="307">
        <f t="shared" si="4"/>
        <v>2.0000000000000018E-2</v>
      </c>
    </row>
    <row r="336" spans="3:8" x14ac:dyDescent="0.3">
      <c r="C336" s="307">
        <v>2055</v>
      </c>
      <c r="D336" s="307">
        <f t="shared" si="0"/>
        <v>5.1673997386620645</v>
      </c>
      <c r="E336" s="307">
        <f t="shared" si="2"/>
        <v>5.0000000000000044E-2</v>
      </c>
      <c r="F336" s="307">
        <f t="shared" si="1"/>
        <v>2.8539333240833664</v>
      </c>
      <c r="G336" s="307">
        <f t="shared" si="3"/>
        <v>3.0000000000000027E-2</v>
      </c>
      <c r="H336" s="307">
        <f t="shared" si="4"/>
        <v>2.0000000000000018E-2</v>
      </c>
    </row>
    <row r="337" spans="3:8" x14ac:dyDescent="0.3">
      <c r="C337" s="307">
        <v>2056</v>
      </c>
      <c r="D337" s="307">
        <f t="shared" ref="D337:D368" si="5">J77</f>
        <v>5.4257697255951678</v>
      </c>
      <c r="E337" s="307">
        <f t="shared" si="2"/>
        <v>5.0000000000000044E-2</v>
      </c>
      <c r="F337" s="307">
        <f t="shared" ref="F337:F368" si="6">J185</f>
        <v>2.9395513238058677</v>
      </c>
      <c r="G337" s="307">
        <f t="shared" si="3"/>
        <v>3.0000000000000027E-2</v>
      </c>
      <c r="H337" s="307">
        <f t="shared" si="4"/>
        <v>2.0000000000000018E-2</v>
      </c>
    </row>
    <row r="338" spans="3:8" x14ac:dyDescent="0.3">
      <c r="C338" s="307">
        <v>2057</v>
      </c>
      <c r="D338" s="307">
        <f t="shared" si="5"/>
        <v>5.6970582118749267</v>
      </c>
      <c r="E338" s="307">
        <f t="shared" ref="E338:E369" si="7">D338/D337-1</f>
        <v>5.0000000000000044E-2</v>
      </c>
      <c r="F338" s="307">
        <f t="shared" si="6"/>
        <v>3.0277378635200436</v>
      </c>
      <c r="G338" s="307">
        <f t="shared" ref="G338:G369" si="8">F338/F337-1</f>
        <v>3.0000000000000027E-2</v>
      </c>
      <c r="H338" s="307">
        <f t="shared" ref="H338:H369" si="9">E338-G338</f>
        <v>2.0000000000000018E-2</v>
      </c>
    </row>
    <row r="339" spans="3:8" x14ac:dyDescent="0.3">
      <c r="C339" s="307">
        <v>2058</v>
      </c>
      <c r="D339" s="307">
        <f t="shared" si="5"/>
        <v>5.9819111224686736</v>
      </c>
      <c r="E339" s="307">
        <f t="shared" si="7"/>
        <v>5.0000000000000044E-2</v>
      </c>
      <c r="F339" s="307">
        <f t="shared" si="6"/>
        <v>3.1185699994256448</v>
      </c>
      <c r="G339" s="307">
        <f t="shared" si="8"/>
        <v>3.0000000000000027E-2</v>
      </c>
      <c r="H339" s="307">
        <f t="shared" si="9"/>
        <v>2.0000000000000018E-2</v>
      </c>
    </row>
    <row r="340" spans="3:8" x14ac:dyDescent="0.3">
      <c r="C340" s="307">
        <v>2059</v>
      </c>
      <c r="D340" s="307">
        <f t="shared" si="5"/>
        <v>6.2810066785921075</v>
      </c>
      <c r="E340" s="307">
        <f t="shared" si="7"/>
        <v>5.0000000000000044E-2</v>
      </c>
      <c r="F340" s="307">
        <f t="shared" si="6"/>
        <v>3.2121270994084141</v>
      </c>
      <c r="G340" s="307">
        <f t="shared" si="8"/>
        <v>3.0000000000000027E-2</v>
      </c>
      <c r="H340" s="307">
        <f t="shared" si="9"/>
        <v>2.0000000000000018E-2</v>
      </c>
    </row>
    <row r="341" spans="3:8" x14ac:dyDescent="0.3">
      <c r="C341" s="307">
        <v>2060</v>
      </c>
      <c r="D341" s="307">
        <f t="shared" si="5"/>
        <v>6.5950570125217132</v>
      </c>
      <c r="E341" s="307">
        <f t="shared" si="7"/>
        <v>5.0000000000000044E-2</v>
      </c>
      <c r="F341" s="307">
        <f t="shared" si="6"/>
        <v>3.3084909123906665</v>
      </c>
      <c r="G341" s="307">
        <f t="shared" si="8"/>
        <v>3.0000000000000027E-2</v>
      </c>
      <c r="H341" s="307">
        <f t="shared" si="9"/>
        <v>2.0000000000000018E-2</v>
      </c>
    </row>
    <row r="342" spans="3:8" x14ac:dyDescent="0.3">
      <c r="C342" s="307">
        <v>2061</v>
      </c>
      <c r="D342" s="307">
        <f t="shared" si="5"/>
        <v>6.9248098631477992</v>
      </c>
      <c r="E342" s="307">
        <f t="shared" si="7"/>
        <v>5.0000000000000044E-2</v>
      </c>
      <c r="F342" s="307">
        <f t="shared" si="6"/>
        <v>3.4077456397623864</v>
      </c>
      <c r="G342" s="307">
        <f t="shared" si="8"/>
        <v>3.0000000000000027E-2</v>
      </c>
      <c r="H342" s="307">
        <f t="shared" si="9"/>
        <v>2.0000000000000018E-2</v>
      </c>
    </row>
    <row r="343" spans="3:8" x14ac:dyDescent="0.3">
      <c r="C343" s="307">
        <v>2062</v>
      </c>
      <c r="D343" s="307">
        <f t="shared" si="5"/>
        <v>7.2710503563051896</v>
      </c>
      <c r="E343" s="307">
        <f t="shared" si="7"/>
        <v>5.0000000000000044E-2</v>
      </c>
      <c r="F343" s="307">
        <f t="shared" si="6"/>
        <v>3.5099780089552581</v>
      </c>
      <c r="G343" s="307">
        <f t="shared" si="8"/>
        <v>3.0000000000000027E-2</v>
      </c>
      <c r="H343" s="307">
        <f t="shared" si="9"/>
        <v>2.0000000000000018E-2</v>
      </c>
    </row>
    <row r="344" spans="3:8" x14ac:dyDescent="0.3">
      <c r="C344" s="307">
        <v>2063</v>
      </c>
      <c r="D344" s="307">
        <f t="shared" si="5"/>
        <v>7.634602874120449</v>
      </c>
      <c r="E344" s="307">
        <f t="shared" si="7"/>
        <v>5.0000000000000044E-2</v>
      </c>
      <c r="F344" s="307">
        <f t="shared" si="6"/>
        <v>3.6152773492239159</v>
      </c>
      <c r="G344" s="307">
        <f t="shared" si="8"/>
        <v>3.0000000000000027E-2</v>
      </c>
      <c r="H344" s="307">
        <f t="shared" si="9"/>
        <v>2.0000000000000018E-2</v>
      </c>
    </row>
    <row r="345" spans="3:8" x14ac:dyDescent="0.3">
      <c r="C345" s="307">
        <v>2064</v>
      </c>
      <c r="D345" s="307">
        <f t="shared" si="5"/>
        <v>8.0163330178264722</v>
      </c>
      <c r="E345" s="307">
        <f t="shared" si="7"/>
        <v>5.0000000000000044E-2</v>
      </c>
      <c r="F345" s="307">
        <f t="shared" si="6"/>
        <v>3.7237356697006336</v>
      </c>
      <c r="G345" s="307">
        <f t="shared" si="8"/>
        <v>3.0000000000000027E-2</v>
      </c>
      <c r="H345" s="307">
        <f t="shared" si="9"/>
        <v>2.0000000000000018E-2</v>
      </c>
    </row>
    <row r="346" spans="3:8" x14ac:dyDescent="0.3">
      <c r="C346" s="307">
        <v>2065</v>
      </c>
      <c r="D346" s="307">
        <f t="shared" si="5"/>
        <v>8.417149668717796</v>
      </c>
      <c r="E346" s="307">
        <f t="shared" si="7"/>
        <v>5.0000000000000044E-2</v>
      </c>
      <c r="F346" s="307">
        <f t="shared" si="6"/>
        <v>3.8354477397916527</v>
      </c>
      <c r="G346" s="307">
        <f t="shared" si="8"/>
        <v>3.0000000000000027E-2</v>
      </c>
      <c r="H346" s="307">
        <f t="shared" si="9"/>
        <v>2.0000000000000018E-2</v>
      </c>
    </row>
    <row r="347" spans="3:8" x14ac:dyDescent="0.3">
      <c r="C347" s="307">
        <v>2066</v>
      </c>
      <c r="D347" s="307">
        <f t="shared" si="5"/>
        <v>8.8380071521536863</v>
      </c>
      <c r="E347" s="307">
        <f t="shared" si="7"/>
        <v>5.0000000000000044E-2</v>
      </c>
      <c r="F347" s="307">
        <f t="shared" si="6"/>
        <v>3.9505111719854025</v>
      </c>
      <c r="G347" s="307">
        <f t="shared" si="8"/>
        <v>3.0000000000000027E-2</v>
      </c>
      <c r="H347" s="307">
        <f t="shared" si="9"/>
        <v>2.0000000000000018E-2</v>
      </c>
    </row>
    <row r="348" spans="3:8" x14ac:dyDescent="0.3">
      <c r="C348" s="307">
        <v>2067</v>
      </c>
      <c r="D348" s="307">
        <f t="shared" si="5"/>
        <v>9.2799075097613706</v>
      </c>
      <c r="E348" s="307">
        <f t="shared" si="7"/>
        <v>5.0000000000000044E-2</v>
      </c>
      <c r="F348" s="307">
        <f t="shared" si="6"/>
        <v>4.0690265071449643</v>
      </c>
      <c r="G348" s="307">
        <f t="shared" si="8"/>
        <v>3.0000000000000027E-2</v>
      </c>
      <c r="H348" s="307">
        <f t="shared" si="9"/>
        <v>2.0000000000000018E-2</v>
      </c>
    </row>
    <row r="349" spans="3:8" x14ac:dyDescent="0.3">
      <c r="C349" s="307">
        <v>2068</v>
      </c>
      <c r="D349" s="307">
        <f t="shared" si="5"/>
        <v>9.7439028852494403</v>
      </c>
      <c r="E349" s="307">
        <f t="shared" si="7"/>
        <v>5.0000000000000044E-2</v>
      </c>
      <c r="F349" s="307">
        <f t="shared" si="6"/>
        <v>4.1910973023593137</v>
      </c>
      <c r="G349" s="307">
        <f t="shared" si="8"/>
        <v>3.0000000000000027E-2</v>
      </c>
      <c r="H349" s="307">
        <f t="shared" si="9"/>
        <v>2.0000000000000018E-2</v>
      </c>
    </row>
    <row r="350" spans="3:8" x14ac:dyDescent="0.3">
      <c r="C350" s="307">
        <v>2069</v>
      </c>
      <c r="D350" s="307">
        <f t="shared" si="5"/>
        <v>10.231098029511912</v>
      </c>
      <c r="E350" s="307">
        <f t="shared" si="7"/>
        <v>5.0000000000000044E-2</v>
      </c>
      <c r="F350" s="307">
        <f t="shared" si="6"/>
        <v>4.3168302214300933</v>
      </c>
      <c r="G350" s="307">
        <f t="shared" si="8"/>
        <v>3.0000000000000027E-2</v>
      </c>
      <c r="H350" s="307">
        <f t="shared" si="9"/>
        <v>2.0000000000000018E-2</v>
      </c>
    </row>
    <row r="351" spans="3:8" x14ac:dyDescent="0.3">
      <c r="C351" s="307">
        <v>2070</v>
      </c>
      <c r="D351" s="307">
        <f t="shared" si="5"/>
        <v>10.742652930987509</v>
      </c>
      <c r="E351" s="307">
        <f t="shared" si="7"/>
        <v>5.0000000000000044E-2</v>
      </c>
      <c r="F351" s="307">
        <f t="shared" si="6"/>
        <v>4.4463351280729961</v>
      </c>
      <c r="G351" s="307">
        <f t="shared" si="8"/>
        <v>3.0000000000000027E-2</v>
      </c>
      <c r="H351" s="307">
        <f t="shared" si="9"/>
        <v>2.0000000000000018E-2</v>
      </c>
    </row>
    <row r="352" spans="3:8" x14ac:dyDescent="0.3">
      <c r="C352" s="307">
        <v>2071</v>
      </c>
      <c r="D352" s="307">
        <f t="shared" si="5"/>
        <v>11.279785577536884</v>
      </c>
      <c r="E352" s="307">
        <f t="shared" si="7"/>
        <v>5.0000000000000044E-2</v>
      </c>
      <c r="F352" s="307">
        <f t="shared" si="6"/>
        <v>4.5797251819151858</v>
      </c>
      <c r="G352" s="307">
        <f t="shared" si="8"/>
        <v>3.0000000000000027E-2</v>
      </c>
      <c r="H352" s="307">
        <f t="shared" si="9"/>
        <v>2.0000000000000018E-2</v>
      </c>
    </row>
    <row r="353" spans="3:8" x14ac:dyDescent="0.3">
      <c r="C353" s="307">
        <v>2072</v>
      </c>
      <c r="D353" s="307">
        <f t="shared" si="5"/>
        <v>11.843774856413729</v>
      </c>
      <c r="E353" s="307">
        <f t="shared" si="7"/>
        <v>5.0000000000000044E-2</v>
      </c>
      <c r="F353" s="307">
        <f t="shared" si="6"/>
        <v>4.7171169373726416</v>
      </c>
      <c r="G353" s="307">
        <f t="shared" si="8"/>
        <v>3.0000000000000027E-2</v>
      </c>
      <c r="H353" s="307">
        <f t="shared" si="9"/>
        <v>2.0000000000000018E-2</v>
      </c>
    </row>
    <row r="354" spans="3:8" x14ac:dyDescent="0.3">
      <c r="C354" s="307">
        <v>2073</v>
      </c>
      <c r="D354" s="307">
        <f t="shared" si="5"/>
        <v>12.435963599234416</v>
      </c>
      <c r="E354" s="307">
        <f t="shared" si="7"/>
        <v>5.0000000000000044E-2</v>
      </c>
      <c r="F354" s="307">
        <f t="shared" si="6"/>
        <v>4.8586304454938212</v>
      </c>
      <c r="G354" s="307">
        <f t="shared" si="8"/>
        <v>3.0000000000000027E-2</v>
      </c>
      <c r="H354" s="307">
        <f t="shared" si="9"/>
        <v>2.0000000000000018E-2</v>
      </c>
    </row>
    <row r="355" spans="3:8" x14ac:dyDescent="0.3">
      <c r="C355" s="307">
        <v>2074</v>
      </c>
      <c r="D355" s="307">
        <f t="shared" si="5"/>
        <v>13.057761779196138</v>
      </c>
      <c r="E355" s="307">
        <f t="shared" si="7"/>
        <v>5.0000000000000044E-2</v>
      </c>
      <c r="F355" s="307">
        <f t="shared" si="6"/>
        <v>5.0043893588586359</v>
      </c>
      <c r="G355" s="307">
        <f t="shared" si="8"/>
        <v>3.0000000000000027E-2</v>
      </c>
      <c r="H355" s="307">
        <f t="shared" si="9"/>
        <v>2.0000000000000018E-2</v>
      </c>
    </row>
  </sheetData>
  <mergeCells count="5">
    <mergeCell ref="C10:F10"/>
    <mergeCell ref="C41:T41"/>
    <mergeCell ref="C260:T260"/>
    <mergeCell ref="D303:E303"/>
    <mergeCell ref="F303:G30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2F7F-B6DF-4498-AB2B-B458D6D490B9}">
  <sheetPr>
    <tabColor theme="9" tint="0.59999389629810485"/>
  </sheetPr>
  <dimension ref="A1:N56"/>
  <sheetViews>
    <sheetView workbookViewId="0">
      <selection activeCell="O51" sqref="O51"/>
    </sheetView>
  </sheetViews>
  <sheetFormatPr defaultRowHeight="14.4" x14ac:dyDescent="0.3"/>
  <cols>
    <col min="9" max="12" width="14.21875" customWidth="1"/>
  </cols>
  <sheetData>
    <row r="1" spans="1:8" ht="15" thickBot="1" x14ac:dyDescent="0.35">
      <c r="A1" t="s">
        <v>76</v>
      </c>
      <c r="G1" s="10" t="s">
        <v>16</v>
      </c>
      <c r="H1" s="9"/>
    </row>
    <row r="2" spans="1:8" x14ac:dyDescent="0.3">
      <c r="G2" s="8" t="s">
        <v>15</v>
      </c>
      <c r="H2" s="8"/>
    </row>
    <row r="3" spans="1:8" ht="15" thickBot="1" x14ac:dyDescent="0.35">
      <c r="G3" s="7" t="s">
        <v>14</v>
      </c>
      <c r="H3" s="7"/>
    </row>
    <row r="4" spans="1:8" ht="15.6" thickTop="1" thickBot="1" x14ac:dyDescent="0.35">
      <c r="G4" s="6" t="s">
        <v>13</v>
      </c>
      <c r="H4" s="6"/>
    </row>
    <row r="5" spans="1:8" ht="15" thickTop="1" x14ac:dyDescent="0.3">
      <c r="G5" s="5" t="s">
        <v>12</v>
      </c>
      <c r="H5" s="4"/>
    </row>
    <row r="9" spans="1:8" ht="15" thickBot="1" x14ac:dyDescent="0.35"/>
    <row r="10" spans="1:8" ht="15" thickBot="1" x14ac:dyDescent="0.35">
      <c r="C10" s="399" t="s">
        <v>3</v>
      </c>
      <c r="D10" s="400"/>
      <c r="E10" s="400"/>
      <c r="F10" s="401"/>
    </row>
    <row r="12" spans="1:8" x14ac:dyDescent="0.3">
      <c r="C12" t="s">
        <v>75</v>
      </c>
    </row>
    <row r="14" spans="1:8" x14ac:dyDescent="0.3">
      <c r="C14">
        <v>0.05</v>
      </c>
      <c r="D14" t="s">
        <v>74</v>
      </c>
    </row>
    <row r="15" spans="1:8" x14ac:dyDescent="0.3">
      <c r="C15" s="34">
        <v>1</v>
      </c>
      <c r="D15" t="s">
        <v>73</v>
      </c>
    </row>
    <row r="16" spans="1:8" x14ac:dyDescent="0.3">
      <c r="C16" s="34">
        <v>1</v>
      </c>
      <c r="D16" t="s">
        <v>72</v>
      </c>
    </row>
    <row r="21" spans="3:14" ht="15" thickBot="1" x14ac:dyDescent="0.35"/>
    <row r="22" spans="3:14" ht="15" thickBot="1" x14ac:dyDescent="0.35">
      <c r="C22" s="399" t="s">
        <v>10</v>
      </c>
      <c r="D22" s="400"/>
      <c r="E22" s="400"/>
      <c r="F22" s="400"/>
      <c r="G22" s="401"/>
      <c r="I22" s="399" t="s">
        <v>0</v>
      </c>
      <c r="J22" s="400"/>
      <c r="K22" s="400"/>
      <c r="L22" s="400"/>
      <c r="M22" s="401"/>
    </row>
    <row r="25" spans="3:14" x14ac:dyDescent="0.3">
      <c r="C25" s="35" t="s">
        <v>71</v>
      </c>
      <c r="D25" s="36">
        <v>250</v>
      </c>
      <c r="E25" s="18">
        <v>250</v>
      </c>
    </row>
    <row r="26" spans="3:14" x14ac:dyDescent="0.3">
      <c r="C26" s="35" t="s">
        <v>70</v>
      </c>
      <c r="D26" s="36">
        <v>75</v>
      </c>
      <c r="E26" s="18">
        <v>75</v>
      </c>
      <c r="I26" t="s">
        <v>504</v>
      </c>
    </row>
    <row r="27" spans="3:14" x14ac:dyDescent="0.3">
      <c r="C27" s="35" t="s">
        <v>69</v>
      </c>
      <c r="D27" s="34">
        <v>0.8</v>
      </c>
      <c r="E27" t="s">
        <v>68</v>
      </c>
    </row>
    <row r="28" spans="3:14" x14ac:dyDescent="0.3">
      <c r="C28" s="35"/>
      <c r="D28" s="34">
        <v>0.2</v>
      </c>
      <c r="E28" t="s">
        <v>67</v>
      </c>
      <c r="I28" s="36">
        <f>D26*(1+D31)</f>
        <v>90</v>
      </c>
      <c r="J28" s="8" t="s">
        <v>516</v>
      </c>
      <c r="K28" s="8"/>
      <c r="L28" s="8"/>
    </row>
    <row r="29" spans="3:14" x14ac:dyDescent="0.3">
      <c r="C29" s="35" t="s">
        <v>66</v>
      </c>
      <c r="D29" s="36">
        <v>100</v>
      </c>
      <c r="E29" t="s">
        <v>65</v>
      </c>
      <c r="I29" s="36">
        <f>I28*(1-C14)</f>
        <v>85.5</v>
      </c>
      <c r="J29" s="8" t="s">
        <v>515</v>
      </c>
      <c r="K29" s="8"/>
      <c r="L29" s="8"/>
      <c r="M29" s="8"/>
      <c r="N29" s="8"/>
    </row>
    <row r="30" spans="3:14" x14ac:dyDescent="0.3">
      <c r="C30" s="35"/>
      <c r="D30" s="36">
        <v>200</v>
      </c>
      <c r="E30" t="s">
        <v>64</v>
      </c>
    </row>
    <row r="31" spans="3:14" x14ac:dyDescent="0.3">
      <c r="C31" s="35" t="s">
        <v>63</v>
      </c>
      <c r="D31" s="34">
        <v>0.2</v>
      </c>
      <c r="E31" s="1">
        <v>0.2</v>
      </c>
      <c r="I31" s="58" t="s">
        <v>508</v>
      </c>
      <c r="J31" s="58" t="s">
        <v>69</v>
      </c>
      <c r="K31" s="58" t="s">
        <v>485</v>
      </c>
    </row>
    <row r="32" spans="3:14" x14ac:dyDescent="0.3">
      <c r="I32" s="35" t="s">
        <v>438</v>
      </c>
      <c r="J32" s="1">
        <f>D27</f>
        <v>0.8</v>
      </c>
      <c r="K32" s="36">
        <f>I29</f>
        <v>85.5</v>
      </c>
    </row>
    <row r="33" spans="9:12" x14ac:dyDescent="0.3">
      <c r="I33" s="128" t="s">
        <v>505</v>
      </c>
      <c r="J33" s="127">
        <f>D28</f>
        <v>0.2</v>
      </c>
      <c r="K33" s="126">
        <f>I28</f>
        <v>90</v>
      </c>
    </row>
    <row r="35" spans="9:12" x14ac:dyDescent="0.3">
      <c r="I35" s="36">
        <f>SUMPRODUCT(J32:J33,K32:K33)</f>
        <v>86.4</v>
      </c>
      <c r="J35" s="8" t="s">
        <v>514</v>
      </c>
      <c r="K35" s="8"/>
      <c r="L35" s="8"/>
    </row>
    <row r="37" spans="9:12" x14ac:dyDescent="0.3">
      <c r="I37" s="36">
        <f>I28-I35</f>
        <v>3.5999999999999943</v>
      </c>
      <c r="J37" s="8" t="s">
        <v>513</v>
      </c>
      <c r="K37" s="8"/>
    </row>
    <row r="40" spans="9:12" x14ac:dyDescent="0.3">
      <c r="I40" s="406" t="s">
        <v>512</v>
      </c>
      <c r="J40" s="407"/>
      <c r="K40" s="407"/>
      <c r="L40" s="408"/>
    </row>
    <row r="41" spans="9:12" x14ac:dyDescent="0.3">
      <c r="I41" s="58" t="s">
        <v>508</v>
      </c>
      <c r="J41" s="58" t="s">
        <v>69</v>
      </c>
      <c r="K41" s="58" t="s">
        <v>511</v>
      </c>
      <c r="L41" s="58" t="s">
        <v>510</v>
      </c>
    </row>
    <row r="42" spans="9:12" x14ac:dyDescent="0.3">
      <c r="I42" s="35" t="s">
        <v>438</v>
      </c>
      <c r="J42" s="1">
        <f>J32</f>
        <v>0.8</v>
      </c>
      <c r="K42" s="132">
        <f>D29/D29</f>
        <v>1</v>
      </c>
      <c r="L42" s="41">
        <f>D29</f>
        <v>100</v>
      </c>
    </row>
    <row r="43" spans="9:12" x14ac:dyDescent="0.3">
      <c r="I43" s="128" t="s">
        <v>505</v>
      </c>
      <c r="J43" s="127">
        <f>J33</f>
        <v>0.2</v>
      </c>
      <c r="K43" s="131">
        <f>D30/D29</f>
        <v>2</v>
      </c>
      <c r="L43" s="130">
        <f>L42*K43</f>
        <v>200</v>
      </c>
    </row>
    <row r="45" spans="9:12" x14ac:dyDescent="0.3">
      <c r="I45" s="406" t="s">
        <v>509</v>
      </c>
      <c r="J45" s="407"/>
      <c r="K45" s="407"/>
      <c r="L45" s="408"/>
    </row>
    <row r="46" spans="9:12" x14ac:dyDescent="0.3">
      <c r="I46" s="58" t="s">
        <v>508</v>
      </c>
      <c r="J46" s="58" t="s">
        <v>444</v>
      </c>
      <c r="K46" s="58" t="s">
        <v>69</v>
      </c>
      <c r="L46" s="58" t="s">
        <v>507</v>
      </c>
    </row>
    <row r="47" spans="9:12" x14ac:dyDescent="0.3">
      <c r="I47" s="35" t="s">
        <v>438</v>
      </c>
      <c r="J47" s="35" t="s">
        <v>506</v>
      </c>
      <c r="K47" s="1">
        <f>(1-C15)*J32</f>
        <v>0</v>
      </c>
      <c r="L47" s="36">
        <f>L42</f>
        <v>100</v>
      </c>
    </row>
    <row r="48" spans="9:12" x14ac:dyDescent="0.3">
      <c r="I48" s="35" t="s">
        <v>505</v>
      </c>
      <c r="J48" s="35" t="s">
        <v>506</v>
      </c>
      <c r="K48" s="1">
        <f>C16*J33</f>
        <v>0.2</v>
      </c>
      <c r="L48" s="36">
        <f>L43</f>
        <v>200</v>
      </c>
    </row>
    <row r="49" spans="9:12" x14ac:dyDescent="0.3">
      <c r="I49" s="35" t="s">
        <v>438</v>
      </c>
      <c r="J49" s="35" t="s">
        <v>504</v>
      </c>
      <c r="K49" s="1">
        <f>C15*J32</f>
        <v>0.8</v>
      </c>
      <c r="L49" s="36">
        <f>L42*(1-$C$14)</f>
        <v>95</v>
      </c>
    </row>
    <row r="50" spans="9:12" x14ac:dyDescent="0.3">
      <c r="I50" s="128" t="s">
        <v>505</v>
      </c>
      <c r="J50" s="128" t="s">
        <v>504</v>
      </c>
      <c r="K50" s="127">
        <f>(1-C16)*J33</f>
        <v>0</v>
      </c>
      <c r="L50" s="126">
        <f>L43*(1-$C$14)</f>
        <v>190</v>
      </c>
    </row>
    <row r="55" spans="9:12" x14ac:dyDescent="0.3">
      <c r="I55" s="36">
        <f>SUMPRODUCT(K47:K50,L47:L50)</f>
        <v>116</v>
      </c>
      <c r="J55" s="8" t="s">
        <v>503</v>
      </c>
      <c r="K55" s="8"/>
      <c r="L55" s="8"/>
    </row>
    <row r="56" spans="9:12" x14ac:dyDescent="0.3">
      <c r="I56" s="4">
        <f>I55-I35</f>
        <v>29.599999999999994</v>
      </c>
      <c r="J56" s="8" t="s">
        <v>502</v>
      </c>
      <c r="K56" s="8"/>
    </row>
  </sheetData>
  <mergeCells count="5">
    <mergeCell ref="C10:F10"/>
    <mergeCell ref="C22:G22"/>
    <mergeCell ref="I22:M22"/>
    <mergeCell ref="I40:L40"/>
    <mergeCell ref="I45:L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3564EB-C2C0-4699-BBED-FE60A8CDD5AF}"/>
</file>

<file path=customXml/itemProps2.xml><?xml version="1.0" encoding="utf-8"?>
<ds:datastoreItem xmlns:ds="http://schemas.openxmlformats.org/officeDocument/2006/customXml" ds:itemID="{02D32068-9BFA-4FE7-9164-64A95180DDCD}"/>
</file>

<file path=customXml/itemProps3.xml><?xml version="1.0" encoding="utf-8"?>
<ds:datastoreItem xmlns:ds="http://schemas.openxmlformats.org/officeDocument/2006/customXml" ds:itemID="{2FD9E723-F6D4-48F0-B148-5B0453CA0E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Cover </vt:lpstr>
      <vt:lpstr>CP 321 LO 1</vt:lpstr>
      <vt:lpstr>LO1 Q2</vt:lpstr>
      <vt:lpstr>LO1 A2</vt:lpstr>
      <vt:lpstr>CP 321 LO 2</vt:lpstr>
      <vt:lpstr>LO2 Q1</vt:lpstr>
      <vt:lpstr>LO2 A1</vt:lpstr>
      <vt:lpstr>LO2 Q6</vt:lpstr>
      <vt:lpstr>LO2 A6</vt:lpstr>
      <vt:lpstr>LO2 Q8</vt:lpstr>
      <vt:lpstr>LO2 A8</vt:lpstr>
      <vt:lpstr>LO2 Q9</vt:lpstr>
      <vt:lpstr>LO2 A9</vt:lpstr>
      <vt:lpstr>LO2 Q10</vt:lpstr>
      <vt:lpstr>LO2 A10</vt:lpstr>
      <vt:lpstr>LO2 Q11</vt:lpstr>
      <vt:lpstr>LO2 A11</vt:lpstr>
      <vt:lpstr>LO2 Q12</vt:lpstr>
      <vt:lpstr>LO2 A12</vt:lpstr>
      <vt:lpstr>LO2 Q13</vt:lpstr>
      <vt:lpstr>LO2 A13</vt:lpstr>
      <vt:lpstr>LO2 Q14</vt:lpstr>
      <vt:lpstr>LO2 A14</vt:lpstr>
      <vt:lpstr>LO2 Q15</vt:lpstr>
      <vt:lpstr>LO2 A15</vt:lpstr>
      <vt:lpstr>LO2 Q16</vt:lpstr>
      <vt:lpstr>LO2 A16</vt:lpstr>
      <vt:lpstr>LO2 Q17</vt:lpstr>
      <vt:lpstr>LO2 A17</vt:lpstr>
      <vt:lpstr>LO2 Q18</vt:lpstr>
      <vt:lpstr>LO2 A18</vt:lpstr>
      <vt:lpstr>LO2 Q20</vt:lpstr>
      <vt:lpstr>LO2 A20</vt:lpstr>
      <vt:lpstr>LO2 Q21</vt:lpstr>
      <vt:lpstr>LO2 A21</vt:lpstr>
      <vt:lpstr>LO2 Q22</vt:lpstr>
      <vt:lpstr>LO2 A22</vt:lpstr>
      <vt:lpstr>LO2 Q24</vt:lpstr>
      <vt:lpstr>LO2 A24</vt:lpstr>
      <vt:lpstr>LO2 Q25</vt:lpstr>
      <vt:lpstr>LO2 A25</vt:lpstr>
      <vt:lpstr>LO2 Q26</vt:lpstr>
      <vt:lpstr>LO2 A26</vt:lpstr>
      <vt:lpstr>LO2 Q27</vt:lpstr>
      <vt:lpstr>LO2 A27</vt:lpstr>
      <vt:lpstr>LO2 Q28</vt:lpstr>
      <vt:lpstr>LO2 A28</vt:lpstr>
      <vt:lpstr>LO2 Q29</vt:lpstr>
      <vt:lpstr>LO2 A29</vt:lpstr>
      <vt:lpstr>LO2 Q30</vt:lpstr>
      <vt:lpstr>LO2 A30</vt:lpstr>
      <vt:lpstr>CP 321 LO 3</vt:lpstr>
      <vt:lpstr>LO3 Q1</vt:lpstr>
      <vt:lpstr>LO3 A1</vt:lpstr>
      <vt:lpstr>LO3 Q2</vt:lpstr>
      <vt:lpstr>LO3 A2</vt:lpstr>
      <vt:lpstr>LO3 Q4</vt:lpstr>
      <vt:lpstr>LO3 A4</vt:lpstr>
      <vt:lpstr>LO3 Q5</vt:lpstr>
      <vt:lpstr>LO3 A5</vt:lpstr>
      <vt:lpstr>LO3 Q6</vt:lpstr>
      <vt:lpstr>LO3 A6</vt:lpstr>
      <vt:lpstr>LO3 Q7</vt:lpstr>
      <vt:lpstr>LO3 A7</vt:lpstr>
      <vt:lpstr>LO3 Q8</vt:lpstr>
      <vt:lpstr>LO3 A8</vt:lpstr>
      <vt:lpstr>LO3 Q9</vt:lpstr>
      <vt:lpstr>LO3 A9</vt:lpstr>
      <vt:lpstr>LO3 Q10</vt:lpstr>
      <vt:lpstr>LO3 A10</vt:lpstr>
      <vt:lpstr>LO3 Q13</vt:lpstr>
      <vt:lpstr>LO3 A13</vt:lpstr>
      <vt:lpstr>LO3 Q14</vt:lpstr>
      <vt:lpstr>LO3 A14</vt:lpstr>
      <vt:lpstr>LO3 Q15</vt:lpstr>
      <vt:lpstr>LO3 A15</vt:lpstr>
      <vt:lpstr>CP 321 LO 6</vt:lpstr>
      <vt:lpstr>LO6 Q3</vt:lpstr>
      <vt:lpstr>LO6 A3</vt:lpstr>
      <vt:lpstr>LO6 Q4</vt:lpstr>
      <vt:lpstr>LO6 A4</vt:lpstr>
      <vt:lpstr>LO6 Q5</vt:lpstr>
      <vt:lpstr>LO6 A5</vt:lpstr>
      <vt:lpstr>LO6 Q6</vt:lpstr>
      <vt:lpstr>LO6 Q6 Data</vt:lpstr>
      <vt:lpstr>LO6 A6</vt:lpstr>
      <vt:lpstr>LO6 Q7</vt:lpstr>
      <vt:lpstr>LO6 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2025-06-27T15:44:14Z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