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4" documentId="13_ncr:1_{D114E506-7B00-407D-9C11-ABD9F4ED75F5}" xr6:coauthVersionLast="47" xr6:coauthVersionMax="47" xr10:uidLastSave="{6F9307AA-7FF2-4080-B3EE-A60FC2FB7096}"/>
  <bookViews>
    <workbookView xWindow="28680" yWindow="-120" windowWidth="38640" windowHeight="21120" tabRatio="879" xr2:uid="{0199C817-F298-4D02-B47D-6B508A1177A0}"/>
  </bookViews>
  <sheets>
    <sheet name="Cover " sheetId="378" r:id="rId1"/>
    <sheet name="ILA 201-I Questions &amp; Solutions" sheetId="232" r:id="rId2"/>
    <sheet name="F20 Q1(d) Question" sheetId="314" r:id="rId3"/>
    <sheet name="F20 Q2 Question" sheetId="315" r:id="rId4"/>
    <sheet name="F20 Q4(b) Question" sheetId="316" r:id="rId5"/>
    <sheet name="F20 Q6 Question" sheetId="317" r:id="rId6"/>
    <sheet name="F20 Q10 Question" sheetId="318" r:id="rId7"/>
    <sheet name="S21 Q1(c) Question" sheetId="319" r:id="rId8"/>
    <sheet name="S21 Q4(b) Question" sheetId="320" r:id="rId9"/>
    <sheet name="S21 Q5(d) Question" sheetId="321" r:id="rId10"/>
    <sheet name="S21 Q6(a) Question" sheetId="322" r:id="rId11"/>
    <sheet name="S21 Q7(b) Question" sheetId="323" r:id="rId12"/>
    <sheet name="S21 Q8(c) Question" sheetId="324" r:id="rId13"/>
    <sheet name="S21 Q9(a) Question" sheetId="325" r:id="rId14"/>
    <sheet name="S21 Q10(c) Question" sheetId="326" r:id="rId15"/>
    <sheet name="F21 Q2(a)(b) Question" sheetId="327" r:id="rId16"/>
    <sheet name="F21 Q2 Solution" sheetId="331" r:id="rId17"/>
    <sheet name="F21 Q4(a)(ii)(c) Question" sheetId="328" r:id="rId18"/>
    <sheet name="F21 Q5 Question" sheetId="329" r:id="rId19"/>
    <sheet name="F21 Q10(b)(ii)(e) Question" sheetId="330" r:id="rId20"/>
    <sheet name="S22 Q2(d) Question" sheetId="332" r:id="rId21"/>
    <sheet name="S22 Q6(d)(ii) Question" sheetId="333" r:id="rId22"/>
    <sheet name="S22 Q7(b) Question" sheetId="334" r:id="rId23"/>
    <sheet name="S22 Q9(b)(ii)(iii) Question" sheetId="335" r:id="rId24"/>
    <sheet name="F22 Q1(a)(c) Question" sheetId="336" r:id="rId25"/>
    <sheet name="F22 Q3(b) Question" sheetId="337" r:id="rId26"/>
    <sheet name="F22 Q5(c) Question" sheetId="338" r:id="rId27"/>
    <sheet name="F22 Q7(b) Question" sheetId="339" r:id="rId28"/>
    <sheet name="F22 Q9(c) Question" sheetId="340" r:id="rId29"/>
    <sheet name="F22 Q9(c) Solution" sheetId="342" r:id="rId30"/>
    <sheet name="F22 Q11(a) Question" sheetId="341" r:id="rId31"/>
    <sheet name="S23 Q2(c) i_ii Question" sheetId="343" r:id="rId32"/>
    <sheet name="S23 Q3(c) i_ii Question" sheetId="344" r:id="rId33"/>
    <sheet name="S23 Q4(c) i_ii Question" sheetId="345" r:id="rId34"/>
    <sheet name="S23 Q4(c) i_ii Solution" sheetId="351" r:id="rId35"/>
    <sheet name="S23 Q5(b) i_ii Question" sheetId="346" r:id="rId36"/>
    <sheet name="S23 Q6(b) Question" sheetId="347" r:id="rId37"/>
    <sheet name="S23 Q7(c) Question" sheetId="348" r:id="rId38"/>
    <sheet name="S23 Q8(a) i_ii Question" sheetId="349" r:id="rId39"/>
    <sheet name="S23 Q9(c) Question" sheetId="350" r:id="rId40"/>
    <sheet name="F23 Q1(b) i_ii Question" sheetId="352" r:id="rId41"/>
    <sheet name="F23 Q3(b),(c),(d) Question" sheetId="353" r:id="rId42"/>
    <sheet name="F23 Q4(c),(d)ii_iii Question" sheetId="354" r:id="rId43"/>
    <sheet name="F23 Q6(c) Question" sheetId="355" r:id="rId44"/>
    <sheet name="F23 Q6(c) Solution" sheetId="358" r:id="rId45"/>
    <sheet name="F23 Q7(b),(d) Question" sheetId="356" r:id="rId46"/>
    <sheet name="F23 Q8(b) Question" sheetId="357" r:id="rId47"/>
    <sheet name="S24 1a Question" sheetId="359" r:id="rId48"/>
    <sheet name="S24 1b Question" sheetId="360" r:id="rId49"/>
    <sheet name="S24 1b Solution" sheetId="369" r:id="rId50"/>
    <sheet name="S24 2b i_ii Question" sheetId="361" r:id="rId51"/>
    <sheet name="S24 3b i Question" sheetId="362" r:id="rId52"/>
    <sheet name="S24 3b i Solution" sheetId="370" r:id="rId53"/>
    <sheet name="S24 4b Question" sheetId="363" r:id="rId54"/>
    <sheet name="S24 5b Question" sheetId="364" r:id="rId55"/>
    <sheet name="S24 6a Question" sheetId="365" r:id="rId56"/>
    <sheet name="S24 6b i_ii Question" sheetId="366" r:id="rId57"/>
    <sheet name="S24 6b i_ii Solution" sheetId="371" r:id="rId58"/>
    <sheet name="S24 7b i Question" sheetId="367" r:id="rId59"/>
    <sheet name="S24 9c Question" sheetId="368" r:id="rId60"/>
    <sheet name="F24 Q1 Question" sheetId="372" r:id="rId61"/>
    <sheet name="F24 Q5 Question" sheetId="373" r:id="rId62"/>
    <sheet name="F24 Q6 Question" sheetId="374" r:id="rId63"/>
    <sheet name="F24 Q7 Question" sheetId="375" r:id="rId64"/>
    <sheet name="F24 Q8 Question" sheetId="376" r:id="rId65"/>
    <sheet name="F24 Q9 Question" sheetId="377" r:id="rId66"/>
  </sheets>
  <externalReferences>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Z">#REF!</definedName>
    <definedName name="\Za">#REF!</definedName>
    <definedName name="__123Graph_BCHART91a" hidden="1">[1]Input!#REF!</definedName>
    <definedName name="_Fill" hidden="1">#REF!</definedName>
    <definedName name="_Hlk61951056" localSheetId="14">'S21 Q10(c) Question'!$A$33</definedName>
    <definedName name="_IV100000">#REF!</definedName>
    <definedName name="_max8">#REF!</definedName>
    <definedName name="_min8">#REF!</definedName>
    <definedName name="_V122544">#REF!</definedName>
    <definedName name="Allocations">#REF!</definedName>
    <definedName name="Base">#REF!</definedName>
    <definedName name="chicago" localSheetId="44">'[2]SZ-1-2013 (MH)'!$B$9:$B$16</definedName>
    <definedName name="chicago" localSheetId="34">'[2]SZ-1-2013 (MH)'!$B$9:$B$16</definedName>
    <definedName name="chicago">'[3]SZ-1-2013 (MH)'!$B$9:$B$16</definedName>
    <definedName name="CLIFR">#REF!</definedName>
    <definedName name="CognitiveLevels" localSheetId="29">'[4]syllabus list'!$C$159:$C$162</definedName>
    <definedName name="CognitiveLevels" localSheetId="44" hidden="1">'[5]syllabus list'!$C$123:$C$126</definedName>
    <definedName name="CognitiveLevels" localSheetId="34" hidden="1">'[5]syllabus list'!$C$123:$C$126</definedName>
    <definedName name="CognitiveLevels">#REF!</definedName>
    <definedName name="CommonGuidance">#REF!</definedName>
    <definedName name="cycle">#REF!</definedName>
    <definedName name="cycle3">#REF!</definedName>
    <definedName name="Cycle5">#REF!</definedName>
    <definedName name="CycleTable">#REF!</definedName>
    <definedName name="DATE">#REF!</definedName>
    <definedName name="DELETE_RANGE">#REF!</definedName>
    <definedName name="ERR">#REF!</definedName>
    <definedName name="EXTRA_TESTS">#REF!</definedName>
    <definedName name="FaceAmount" localSheetId="44">#REF!</definedName>
    <definedName name="FaceAmount" localSheetId="34">'S23 Q4(c) i_ii Solution'!$C$2</definedName>
    <definedName name="FaceAmount">#REF!</definedName>
    <definedName name="FSSplit">#REF!</definedName>
    <definedName name="GETDATA">#REF!</definedName>
    <definedName name="GOV10YBO">#REF!</definedName>
    <definedName name="GOV15YBO">#REF!</definedName>
    <definedName name="GOV1YBO">#REF!</definedName>
    <definedName name="GOV20YBO">#REF!</definedName>
    <definedName name="GOV2YBO">#REF!</definedName>
    <definedName name="GOV3YBO">#REF!</definedName>
    <definedName name="GOV4YBO">#REF!</definedName>
    <definedName name="GOV5YBO">#REF!</definedName>
    <definedName name="GOV7YBO">#REF!</definedName>
    <definedName name="INPUT1">#REF!</definedName>
    <definedName name="INPUT1_CODE">#REF!</definedName>
    <definedName name="INPUT1_ID">#REF!</definedName>
    <definedName name="INPUT1_PASSWORD">#REF!</definedName>
    <definedName name="INPUT1_VALN_DAT">#REF!</definedName>
    <definedName name="INTQ">#REF!</definedName>
    <definedName name="INTR">#REF!</definedName>
    <definedName name="INVERTED_TEST15">#REF!</definedName>
    <definedName name="INVERTED_TEST16">#REF!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_1">#REF!</definedName>
    <definedName name="LO_2">#REF!</definedName>
    <definedName name="LockedInRate" localSheetId="44">#REF!</definedName>
    <definedName name="LockedInRate" localSheetId="34">'S23 Q4(c) i_ii Solution'!$C$7</definedName>
    <definedName name="LockedInRate">#REF!</definedName>
    <definedName name="LOList">#REF!</definedName>
    <definedName name="LongMax">#REF!</definedName>
    <definedName name="LongMaxAdj">#REF!</definedName>
    <definedName name="LongMaxAdjRate">#REF!</definedName>
    <definedName name="LongMaxMA">#REF!</definedName>
    <definedName name="LongMaxRange">#REF!</definedName>
    <definedName name="LongMin">#REF!</definedName>
    <definedName name="LongMinAdj">#REF!</definedName>
    <definedName name="LongMinAdjRate">#REF!</definedName>
    <definedName name="LongMinMA">#REF!</definedName>
    <definedName name="LongMinRange">#REF!</definedName>
    <definedName name="LongTermWeight">#REF!</definedName>
    <definedName name="MAXIMUM_RATE">#REF!</definedName>
    <definedName name="MaxRate">#REF!</definedName>
    <definedName name="MINIMUM_RATE">#REF!</definedName>
    <definedName name="MinRate">#REF!</definedName>
    <definedName name="OLE_LINK1" localSheetId="13">'S21 Q9(a) Question'!$A$6</definedName>
    <definedName name="P_S_RESULT">#REF!</definedName>
    <definedName name="Premium" localSheetId="44">#REF!</definedName>
    <definedName name="Premium" localSheetId="34">'S23 Q4(c) i_ii Solution'!$C$3</definedName>
    <definedName name="Premium">#REF!</definedName>
    <definedName name="PRESCRIB_TEST17">#REF!</definedName>
    <definedName name="PRESCRIB_TEST18">#REF!</definedName>
    <definedName name="PRESCRIB_TEST19">#REF!</definedName>
    <definedName name="PRESCRIB_TEST20">#REF!</definedName>
    <definedName name="PRINT_IND">#REF!</definedName>
    <definedName name="PRINT_NOW">#REF!</definedName>
    <definedName name="PRINT_SELECTION">#REF!</definedName>
    <definedName name="PrintRate">#REF!</definedName>
    <definedName name="PRNT_SPOT_RATES">#REF!</definedName>
    <definedName name="PRT_ALL_TESTS">#REF!</definedName>
    <definedName name="PRT_INDICATORS">#REF!</definedName>
    <definedName name="PRT_INVERTED">#REF!</definedName>
    <definedName name="PRT_NOTHING">#REF!</definedName>
    <definedName name="PRT_PRESCRIBED">#REF!</definedName>
    <definedName name="PRT_REGULAR">#REF!</definedName>
    <definedName name="PRT_SELECT_ALL">#REF!</definedName>
    <definedName name="PRT_SELECTIONS">#REF!</definedName>
    <definedName name="PRT_SPOT_RATES">#REF!</definedName>
    <definedName name="Q_sources">#REF!</definedName>
    <definedName name="RateTable">#REF!</definedName>
    <definedName name="RegTable">#REF!</definedName>
    <definedName name="REGULAR_TEST1">#REF!</definedName>
    <definedName name="REGULAR_TEST10">#REF!</definedName>
    <definedName name="REGULAR_TEST11">#REF!</definedName>
    <definedName name="REGULAR_TEST12">#REF!</definedName>
    <definedName name="REGULAR_TEST13">#REF!</definedName>
    <definedName name="REGULAR_TEST14">#REF!</definedName>
    <definedName name="REGULAR_TEST2">#REF!</definedName>
    <definedName name="REGULAR_TEST3">#REF!</definedName>
    <definedName name="REGULAR_TEST4">#REF!</definedName>
    <definedName name="REGULAR_TEST5">#REF!</definedName>
    <definedName name="REGULAR_TEST6">#REF!</definedName>
    <definedName name="REGULAR_TEST7">#REF!</definedName>
    <definedName name="REGULAR_TEST8">#REF!</definedName>
    <definedName name="REGULAR_TEST9">#REF!</definedName>
    <definedName name="RiskAdj" localSheetId="44">#REF!</definedName>
    <definedName name="RiskAdj" localSheetId="34">'S23 Q4(c) i_ii Solution'!$C$8</definedName>
    <definedName name="RiskAdj">#REF!</definedName>
    <definedName name="ScenTable">#REF!</definedName>
    <definedName name="SETDATE">#REF!</definedName>
    <definedName name="ShortMax">#REF!</definedName>
    <definedName name="ShortMaxAdj">#REF!</definedName>
    <definedName name="ShortMaxAdjRate">#REF!</definedName>
    <definedName name="ShortMaxMA">#REF!</definedName>
    <definedName name="ShortMaxRange">#REF!</definedName>
    <definedName name="ShortMin">#REF!</definedName>
    <definedName name="ShortMinAdj">#REF!</definedName>
    <definedName name="ShortMinAdjRate">#REF!</definedName>
    <definedName name="ShortMinMA">#REF!</definedName>
    <definedName name="ShortMinRange">#REF!</definedName>
    <definedName name="ShortTermWeight">#REF!</definedName>
    <definedName name="ST_Med">'[6]Input - Entrée de données'!#REF!</definedName>
    <definedName name="Step">#REF!</definedName>
    <definedName name="StepTable">#REF!</definedName>
    <definedName name="SyllabusListing" localSheetId="29">'[4]syllabus list'!$D$4:$D$137</definedName>
    <definedName name="SyllabusListing" localSheetId="44">'[7]syllabus list'!$D$4:$D$106</definedName>
    <definedName name="SyllabusListing" localSheetId="34">'[8]syllabus list'!$D$4:$D$106</definedName>
    <definedName name="SyllabusListing">#REF!</definedName>
    <definedName name="TBILL1M">#REF!</definedName>
    <definedName name="TBILL2M">#REF!</definedName>
    <definedName name="TBILL3M">#REF!</definedName>
    <definedName name="TBILL6M">#REF!</definedName>
    <definedName name="TEST_10_INCR">#REF!</definedName>
    <definedName name="TEST_11_DECR">#REF!</definedName>
    <definedName name="TEST_17_INV_">#REF!</definedName>
    <definedName name="TEST_17_STEEP_">#REF!</definedName>
    <definedName name="TEST_3_CHGE">#REF!</definedName>
    <definedName name="TEST_4_INCR">#REF!</definedName>
    <definedName name="TEST_6_INCREASE">#REF!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ITLE1">#REF!</definedName>
    <definedName name="TITLE10">#REF!</definedName>
    <definedName name="TITLE11">#REF!</definedName>
    <definedName name="TITLE16">#REF!</definedName>
    <definedName name="TITLE17">#REF!</definedName>
    <definedName name="TITLE18">#REF!</definedName>
    <definedName name="TITLE2">#REF!</definedName>
    <definedName name="TITLE21">#REF!</definedName>
    <definedName name="TITLE3">#REF!</definedName>
    <definedName name="TITLE4">#REF!</definedName>
    <definedName name="TITLE5">#REF!</definedName>
    <definedName name="TITLE6">#REF!</definedName>
    <definedName name="TITLE8">#REF!</definedName>
    <definedName name="TITLE9">#REF!</definedName>
    <definedName name="Total">#REF!</definedName>
    <definedName name="VALN_DATE">#REF!</definedName>
    <definedName name="VALUATION_DATE">#REF!</definedName>
    <definedName name="Yield01">#REF!</definedName>
    <definedName name="Yield02">#REF!</definedName>
    <definedName name="Yield03">#REF!</definedName>
    <definedName name="Yield04">#REF!</definedName>
    <definedName name="Yield05">#REF!</definedName>
    <definedName name="Yield06">#REF!</definedName>
    <definedName name="Yield07">#REF!</definedName>
    <definedName name="Yield08">#REF!</definedName>
    <definedName name="Yield09">#REF!</definedName>
    <definedName name="Yield10">#REF!</definedName>
    <definedName name="Yield11">#REF!</definedName>
    <definedName name="Yield12">#REF!</definedName>
    <definedName name="Yield13">#REF!</definedName>
    <definedName name="Yield14">#REF!</definedName>
    <definedName name="Yield15">#REF!</definedName>
    <definedName name="Yield16">#REF!</definedName>
    <definedName name="Yield17">#REF!</definedName>
    <definedName name="Yield18">#REF!</definedName>
    <definedName name="Yield19">#REF!</definedName>
    <definedName name="Yield20">#REF!</definedName>
    <definedName name="YieldCurv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373" l="1"/>
  <c r="H8" i="373"/>
  <c r="G8" i="373"/>
  <c r="H7" i="373"/>
  <c r="G7" i="373"/>
  <c r="F7" i="373"/>
  <c r="L58" i="371"/>
  <c r="K58" i="371"/>
  <c r="J58" i="371"/>
  <c r="I58" i="371"/>
  <c r="H58" i="371"/>
  <c r="G58" i="371"/>
  <c r="F58" i="371"/>
  <c r="E58" i="371"/>
  <c r="D58" i="371"/>
  <c r="C58" i="371"/>
  <c r="L52" i="371"/>
  <c r="K52" i="371"/>
  <c r="J52" i="371"/>
  <c r="I52" i="371"/>
  <c r="H52" i="371"/>
  <c r="G52" i="371"/>
  <c r="F52" i="371"/>
  <c r="E52" i="371"/>
  <c r="D52" i="371"/>
  <c r="C52" i="371"/>
  <c r="F16" i="371"/>
  <c r="G16" i="371" s="1"/>
  <c r="H16" i="371" s="1"/>
  <c r="I16" i="371" s="1"/>
  <c r="J16" i="371" s="1"/>
  <c r="K16" i="371" s="1"/>
  <c r="L16" i="371" s="1"/>
  <c r="E16" i="371"/>
  <c r="D16" i="371"/>
  <c r="C16" i="371"/>
  <c r="C15" i="371"/>
  <c r="D15" i="371" s="1"/>
  <c r="E15" i="371" s="1"/>
  <c r="F15" i="371" s="1"/>
  <c r="G15" i="371" s="1"/>
  <c r="H15" i="371" s="1"/>
  <c r="I15" i="371" s="1"/>
  <c r="J15" i="371" s="1"/>
  <c r="K15" i="371" s="1"/>
  <c r="L15" i="371" s="1"/>
  <c r="D13" i="371"/>
  <c r="E13" i="371" s="1"/>
  <c r="F13" i="371" s="1"/>
  <c r="G13" i="371" s="1"/>
  <c r="H13" i="371" s="1"/>
  <c r="I13" i="371" s="1"/>
  <c r="J13" i="371" s="1"/>
  <c r="K13" i="371" s="1"/>
  <c r="L13" i="371" s="1"/>
  <c r="D12" i="371"/>
  <c r="E12" i="371" s="1"/>
  <c r="F12" i="371" s="1"/>
  <c r="G12" i="371" s="1"/>
  <c r="H12" i="371" s="1"/>
  <c r="I12" i="371" s="1"/>
  <c r="J12" i="371" s="1"/>
  <c r="K12" i="371" s="1"/>
  <c r="L12" i="371" s="1"/>
  <c r="D11" i="371"/>
  <c r="E11" i="371" s="1"/>
  <c r="F11" i="371" s="1"/>
  <c r="G11" i="371" s="1"/>
  <c r="H11" i="371" s="1"/>
  <c r="I11" i="371" s="1"/>
  <c r="J11" i="371" s="1"/>
  <c r="K11" i="371" s="1"/>
  <c r="L11" i="371" s="1"/>
  <c r="E10" i="371"/>
  <c r="F10" i="371" s="1"/>
  <c r="G10" i="371" s="1"/>
  <c r="H10" i="371" s="1"/>
  <c r="I10" i="371" s="1"/>
  <c r="J10" i="371" s="1"/>
  <c r="K10" i="371" s="1"/>
  <c r="L10" i="371" s="1"/>
  <c r="D10" i="371"/>
  <c r="F9" i="371"/>
  <c r="G9" i="371" s="1"/>
  <c r="H9" i="371" s="1"/>
  <c r="I9" i="371" s="1"/>
  <c r="J9" i="371" s="1"/>
  <c r="K9" i="371" s="1"/>
  <c r="L9" i="371" s="1"/>
  <c r="E9" i="371"/>
  <c r="D9" i="371"/>
  <c r="D8" i="371"/>
  <c r="E8" i="371" s="1"/>
  <c r="F8" i="371" s="1"/>
  <c r="G8" i="371" s="1"/>
  <c r="H8" i="371" s="1"/>
  <c r="I8" i="371" s="1"/>
  <c r="J8" i="371" s="1"/>
  <c r="K8" i="371" s="1"/>
  <c r="L8" i="371" s="1"/>
  <c r="C7" i="371"/>
  <c r="C51" i="371" s="1"/>
  <c r="E31" i="370"/>
  <c r="D31" i="370"/>
  <c r="C31" i="370"/>
  <c r="B31" i="370"/>
  <c r="O25" i="370"/>
  <c r="L25" i="370"/>
  <c r="G25" i="370"/>
  <c r="D25" i="370"/>
  <c r="Q15" i="370"/>
  <c r="Q25" i="370" s="1"/>
  <c r="P15" i="370"/>
  <c r="P25" i="370" s="1"/>
  <c r="O15" i="370"/>
  <c r="O16" i="370" s="1"/>
  <c r="N15" i="370"/>
  <c r="N16" i="370" s="1"/>
  <c r="M15" i="370"/>
  <c r="M16" i="370" s="1"/>
  <c r="L15" i="370"/>
  <c r="L16" i="370" s="1"/>
  <c r="J15" i="370"/>
  <c r="J25" i="370" s="1"/>
  <c r="I15" i="370"/>
  <c r="I25" i="370" s="1"/>
  <c r="H15" i="370"/>
  <c r="H25" i="370" s="1"/>
  <c r="G15" i="370"/>
  <c r="G16" i="370" s="1"/>
  <c r="F15" i="370"/>
  <c r="F16" i="370" s="1"/>
  <c r="E15" i="370"/>
  <c r="E16" i="370" s="1"/>
  <c r="D15" i="370"/>
  <c r="D16" i="370" s="1"/>
  <c r="C15" i="370"/>
  <c r="C25" i="370" s="1"/>
  <c r="B15" i="370"/>
  <c r="B25" i="370" s="1"/>
  <c r="K14" i="370"/>
  <c r="C13" i="370"/>
  <c r="D13" i="370" s="1"/>
  <c r="E13" i="370" s="1"/>
  <c r="F13" i="370" s="1"/>
  <c r="G13" i="370" s="1"/>
  <c r="H13" i="370" s="1"/>
  <c r="I13" i="370" s="1"/>
  <c r="J13" i="370" s="1"/>
  <c r="K13" i="370" s="1"/>
  <c r="L13" i="370" s="1"/>
  <c r="M13" i="370" s="1"/>
  <c r="N13" i="370" s="1"/>
  <c r="O13" i="370" s="1"/>
  <c r="P13" i="370" s="1"/>
  <c r="Q13" i="370" s="1"/>
  <c r="I16" i="369"/>
  <c r="I17" i="369" s="1"/>
  <c r="H16" i="369"/>
  <c r="H17" i="369" s="1"/>
  <c r="L15" i="369"/>
  <c r="L16" i="369" s="1"/>
  <c r="L17" i="369" s="1"/>
  <c r="K15" i="369"/>
  <c r="K16" i="369" s="1"/>
  <c r="K17" i="369" s="1"/>
  <c r="J15" i="369"/>
  <c r="J16" i="369" s="1"/>
  <c r="J17" i="369" s="1"/>
  <c r="I15" i="369"/>
  <c r="H15" i="369"/>
  <c r="G15" i="369"/>
  <c r="G16" i="369" s="1"/>
  <c r="G17" i="369" s="1"/>
  <c r="F15" i="369"/>
  <c r="F16" i="369" s="1"/>
  <c r="F17" i="369" s="1"/>
  <c r="E15" i="369"/>
  <c r="E16" i="369" s="1"/>
  <c r="E17" i="369" s="1"/>
  <c r="D15" i="369"/>
  <c r="D16" i="369" s="1"/>
  <c r="D17" i="369" s="1"/>
  <c r="C15" i="369"/>
  <c r="C16" i="369" s="1"/>
  <c r="C17" i="369" s="1"/>
  <c r="C18" i="369" s="1"/>
  <c r="C19" i="369" s="1"/>
  <c r="L14" i="369"/>
  <c r="D14" i="369"/>
  <c r="L13" i="369"/>
  <c r="K13" i="369"/>
  <c r="K14" i="369" s="1"/>
  <c r="J13" i="369"/>
  <c r="J14" i="369" s="1"/>
  <c r="I13" i="369"/>
  <c r="I14" i="369" s="1"/>
  <c r="H13" i="369"/>
  <c r="H14" i="369" s="1"/>
  <c r="G13" i="369"/>
  <c r="G14" i="369" s="1"/>
  <c r="F13" i="369"/>
  <c r="F14" i="369" s="1"/>
  <c r="E13" i="369"/>
  <c r="E14" i="369" s="1"/>
  <c r="D13" i="369"/>
  <c r="C13" i="369"/>
  <c r="C14" i="369" s="1"/>
  <c r="B13" i="369"/>
  <c r="B14" i="369" s="1"/>
  <c r="D18" i="369" l="1"/>
  <c r="D19" i="369" s="1"/>
  <c r="E25" i="370"/>
  <c r="B28" i="370" s="1"/>
  <c r="F25" i="370"/>
  <c r="C28" i="370" s="1"/>
  <c r="N25" i="370"/>
  <c r="E28" i="370" s="1"/>
  <c r="M25" i="370"/>
  <c r="H16" i="370"/>
  <c r="P16" i="370"/>
  <c r="I16" i="370"/>
  <c r="Q16" i="370"/>
  <c r="D7" i="371"/>
  <c r="B16" i="370"/>
  <c r="B21" i="370" s="1"/>
  <c r="J16" i="370"/>
  <c r="K15" i="370"/>
  <c r="K25" i="370" s="1"/>
  <c r="D28" i="370" s="1"/>
  <c r="C16" i="370"/>
  <c r="D30" i="370" l="1"/>
  <c r="D32" i="370" s="1"/>
  <c r="K16" i="370"/>
  <c r="E7" i="371"/>
  <c r="D51" i="371"/>
  <c r="E29" i="370"/>
  <c r="E30" i="370" s="1"/>
  <c r="E32" i="370" s="1"/>
  <c r="D29" i="370"/>
  <c r="C29" i="370"/>
  <c r="B29" i="370"/>
  <c r="B30" i="370" s="1"/>
  <c r="B32" i="370" s="1"/>
  <c r="B34" i="370" s="1"/>
  <c r="C30" i="370"/>
  <c r="C32" i="370" s="1"/>
  <c r="E18" i="369"/>
  <c r="E19" i="369" l="1"/>
  <c r="F18" i="369"/>
  <c r="F7" i="371"/>
  <c r="E51" i="371"/>
  <c r="F19" i="369" l="1"/>
  <c r="G18" i="369"/>
  <c r="G7" i="371"/>
  <c r="F51" i="371"/>
  <c r="G51" i="371" l="1"/>
  <c r="H7" i="371"/>
  <c r="G19" i="369"/>
  <c r="H18" i="369"/>
  <c r="H51" i="371" l="1"/>
  <c r="I7" i="371"/>
  <c r="H19" i="369"/>
  <c r="I18" i="369"/>
  <c r="I51" i="371" l="1"/>
  <c r="J7" i="371"/>
  <c r="I19" i="369"/>
  <c r="J18" i="369"/>
  <c r="J19" i="369" l="1"/>
  <c r="K18" i="369"/>
  <c r="J51" i="371"/>
  <c r="K7" i="371"/>
  <c r="K51" i="371" l="1"/>
  <c r="L7" i="371"/>
  <c r="L51" i="371" s="1"/>
  <c r="K19" i="369"/>
  <c r="L18" i="369"/>
  <c r="L19" i="369" s="1"/>
  <c r="B20" i="369" s="1"/>
  <c r="B21" i="369" s="1"/>
  <c r="B53" i="371"/>
  <c r="B59" i="371"/>
  <c r="B60" i="371" l="1"/>
  <c r="C20" i="366" l="1"/>
  <c r="D20" i="366" s="1"/>
  <c r="E20" i="366" s="1"/>
  <c r="F20" i="366" s="1"/>
  <c r="G20" i="366" s="1"/>
  <c r="H20" i="366" s="1"/>
  <c r="I20" i="366" s="1"/>
  <c r="J20" i="366" s="1"/>
  <c r="K20" i="366" s="1"/>
  <c r="L20" i="366" s="1"/>
  <c r="C19" i="366"/>
  <c r="D19" i="366" s="1"/>
  <c r="E19" i="366" s="1"/>
  <c r="F19" i="366" s="1"/>
  <c r="G19" i="366" s="1"/>
  <c r="H19" i="366" s="1"/>
  <c r="I19" i="366" s="1"/>
  <c r="J19" i="366" s="1"/>
  <c r="K19" i="366" s="1"/>
  <c r="L19" i="366" s="1"/>
  <c r="E17" i="366"/>
  <c r="F17" i="366" s="1"/>
  <c r="G17" i="366" s="1"/>
  <c r="H17" i="366" s="1"/>
  <c r="I17" i="366" s="1"/>
  <c r="J17" i="366" s="1"/>
  <c r="K17" i="366" s="1"/>
  <c r="L17" i="366" s="1"/>
  <c r="D17" i="366"/>
  <c r="D16" i="366"/>
  <c r="E16" i="366" s="1"/>
  <c r="F16" i="366" s="1"/>
  <c r="G16" i="366" s="1"/>
  <c r="H16" i="366" s="1"/>
  <c r="I16" i="366" s="1"/>
  <c r="J16" i="366" s="1"/>
  <c r="K16" i="366" s="1"/>
  <c r="L16" i="366" s="1"/>
  <c r="E15" i="366"/>
  <c r="F15" i="366" s="1"/>
  <c r="G15" i="366" s="1"/>
  <c r="H15" i="366" s="1"/>
  <c r="I15" i="366" s="1"/>
  <c r="J15" i="366" s="1"/>
  <c r="K15" i="366" s="1"/>
  <c r="L15" i="366" s="1"/>
  <c r="D15" i="366"/>
  <c r="D14" i="366"/>
  <c r="E14" i="366" s="1"/>
  <c r="F14" i="366" s="1"/>
  <c r="G14" i="366" s="1"/>
  <c r="H14" i="366" s="1"/>
  <c r="I14" i="366" s="1"/>
  <c r="J14" i="366" s="1"/>
  <c r="K14" i="366" s="1"/>
  <c r="L14" i="366" s="1"/>
  <c r="E13" i="366"/>
  <c r="F13" i="366" s="1"/>
  <c r="G13" i="366" s="1"/>
  <c r="H13" i="366" s="1"/>
  <c r="I13" i="366" s="1"/>
  <c r="J13" i="366" s="1"/>
  <c r="K13" i="366" s="1"/>
  <c r="L13" i="366" s="1"/>
  <c r="D13" i="366"/>
  <c r="D12" i="366"/>
  <c r="E12" i="366" s="1"/>
  <c r="F12" i="366" s="1"/>
  <c r="G12" i="366" s="1"/>
  <c r="H12" i="366" s="1"/>
  <c r="I12" i="366" s="1"/>
  <c r="J12" i="366" s="1"/>
  <c r="K12" i="366" s="1"/>
  <c r="L12" i="366" s="1"/>
  <c r="C11" i="366"/>
  <c r="D11" i="366" s="1"/>
  <c r="E11" i="366" s="1"/>
  <c r="F11" i="366" s="1"/>
  <c r="G11" i="366" s="1"/>
  <c r="H11" i="366" s="1"/>
  <c r="I11" i="366" s="1"/>
  <c r="J11" i="366" s="1"/>
  <c r="K11" i="366" s="1"/>
  <c r="L11" i="366" s="1"/>
  <c r="B19" i="362"/>
  <c r="Q18" i="362"/>
  <c r="Q19" i="362" s="1"/>
  <c r="P18" i="362"/>
  <c r="P19" i="362" s="1"/>
  <c r="O18" i="362"/>
  <c r="O19" i="362" s="1"/>
  <c r="N18" i="362"/>
  <c r="N19" i="362" s="1"/>
  <c r="M18" i="362"/>
  <c r="M19" i="362" s="1"/>
  <c r="L18" i="362"/>
  <c r="L19" i="362" s="1"/>
  <c r="J18" i="362"/>
  <c r="J19" i="362" s="1"/>
  <c r="I18" i="362"/>
  <c r="I19" i="362" s="1"/>
  <c r="H18" i="362"/>
  <c r="H19" i="362" s="1"/>
  <c r="G18" i="362"/>
  <c r="G19" i="362" s="1"/>
  <c r="F18" i="362"/>
  <c r="F19" i="362" s="1"/>
  <c r="E18" i="362"/>
  <c r="E19" i="362" s="1"/>
  <c r="D18" i="362"/>
  <c r="D19" i="362" s="1"/>
  <c r="C18" i="362"/>
  <c r="C19" i="362" s="1"/>
  <c r="B18" i="362"/>
  <c r="K17" i="362"/>
  <c r="C16" i="362"/>
  <c r="D16" i="362" s="1"/>
  <c r="E16" i="362" s="1"/>
  <c r="F16" i="362" s="1"/>
  <c r="G16" i="362" s="1"/>
  <c r="H16" i="362" s="1"/>
  <c r="I16" i="362" s="1"/>
  <c r="J16" i="362" s="1"/>
  <c r="K16" i="362" s="1"/>
  <c r="L16" i="362" s="1"/>
  <c r="M16" i="362" s="1"/>
  <c r="N16" i="362" s="1"/>
  <c r="O16" i="362" s="1"/>
  <c r="P16" i="362" s="1"/>
  <c r="Q16" i="362" s="1"/>
  <c r="K18" i="362" l="1"/>
  <c r="K19" i="362" s="1"/>
  <c r="O118" i="358"/>
  <c r="N118" i="358"/>
  <c r="M118" i="358"/>
  <c r="L118" i="358"/>
  <c r="K118" i="358"/>
  <c r="I118" i="358"/>
  <c r="H118" i="358"/>
  <c r="G118" i="358"/>
  <c r="F118" i="358"/>
  <c r="O114" i="358"/>
  <c r="N114" i="358"/>
  <c r="M114" i="358"/>
  <c r="L114" i="358"/>
  <c r="I114" i="358"/>
  <c r="H114" i="358"/>
  <c r="G114" i="358"/>
  <c r="F114" i="358"/>
  <c r="E114" i="358"/>
  <c r="K114" i="358" s="1"/>
  <c r="O113" i="358"/>
  <c r="N113" i="358"/>
  <c r="M113" i="358"/>
  <c r="L113" i="358"/>
  <c r="I113" i="358"/>
  <c r="H113" i="358"/>
  <c r="G113" i="358"/>
  <c r="F113" i="358"/>
  <c r="O109" i="358"/>
  <c r="N109" i="358"/>
  <c r="I109" i="358"/>
  <c r="H109" i="358"/>
  <c r="G109" i="358"/>
  <c r="M109" i="358" s="1"/>
  <c r="F109" i="358"/>
  <c r="L109" i="358" s="1"/>
  <c r="E109" i="358"/>
  <c r="K109" i="358" s="1"/>
  <c r="L108" i="358"/>
  <c r="K108" i="358"/>
  <c r="I108" i="358"/>
  <c r="O108" i="358" s="1"/>
  <c r="H108" i="358"/>
  <c r="N108" i="358" s="1"/>
  <c r="G108" i="358"/>
  <c r="M108" i="358" s="1"/>
  <c r="F108" i="358"/>
  <c r="E108" i="358"/>
  <c r="N100" i="358"/>
  <c r="M100" i="358"/>
  <c r="L100" i="358"/>
  <c r="I100" i="358"/>
  <c r="O100" i="358" s="1"/>
  <c r="H100" i="358"/>
  <c r="G100" i="358"/>
  <c r="F100" i="358"/>
  <c r="E100" i="358"/>
  <c r="K100" i="358" s="1"/>
  <c r="K101" i="358" s="1"/>
  <c r="K99" i="358"/>
  <c r="M94" i="358"/>
  <c r="L94" i="358"/>
  <c r="K94" i="358"/>
  <c r="I94" i="358"/>
  <c r="O94" i="358" s="1"/>
  <c r="H94" i="358"/>
  <c r="N94" i="358" s="1"/>
  <c r="G94" i="358"/>
  <c r="F94" i="358"/>
  <c r="E94" i="358"/>
  <c r="H92" i="358"/>
  <c r="N92" i="358" s="1"/>
  <c r="F92" i="358"/>
  <c r="L92" i="358" s="1"/>
  <c r="H91" i="358"/>
  <c r="N91" i="358" s="1"/>
  <c r="M90" i="358"/>
  <c r="L90" i="358"/>
  <c r="K90" i="358"/>
  <c r="I90" i="358"/>
  <c r="O90" i="358" s="1"/>
  <c r="H90" i="358"/>
  <c r="N90" i="358" s="1"/>
  <c r="G90" i="358"/>
  <c r="F90" i="358"/>
  <c r="E90" i="358"/>
  <c r="O89" i="358"/>
  <c r="N89" i="358"/>
  <c r="M89" i="358"/>
  <c r="I89" i="358"/>
  <c r="H89" i="358"/>
  <c r="G89" i="358"/>
  <c r="F89" i="358"/>
  <c r="L89" i="358" s="1"/>
  <c r="E88" i="358"/>
  <c r="K88" i="358" s="1"/>
  <c r="O83" i="358"/>
  <c r="N83" i="358"/>
  <c r="M83" i="358"/>
  <c r="L83" i="358"/>
  <c r="K83" i="358"/>
  <c r="O81" i="358"/>
  <c r="N81" i="358"/>
  <c r="M81" i="358"/>
  <c r="L81" i="358"/>
  <c r="K81" i="358"/>
  <c r="O80" i="358"/>
  <c r="N80" i="358"/>
  <c r="M80" i="358"/>
  <c r="L80" i="358"/>
  <c r="K80" i="358"/>
  <c r="O79" i="358"/>
  <c r="N79" i="358"/>
  <c r="M79" i="358"/>
  <c r="L79" i="358"/>
  <c r="K79" i="358"/>
  <c r="O78" i="358"/>
  <c r="N78" i="358"/>
  <c r="M78" i="358"/>
  <c r="L78" i="358"/>
  <c r="K77" i="358"/>
  <c r="I73" i="358"/>
  <c r="I107" i="358" s="1"/>
  <c r="O107" i="358" s="1"/>
  <c r="I59" i="358"/>
  <c r="I92" i="358" s="1"/>
  <c r="O92" i="358" s="1"/>
  <c r="H59" i="358"/>
  <c r="G59" i="358"/>
  <c r="G92" i="358" s="1"/>
  <c r="M92" i="358" s="1"/>
  <c r="F59" i="358"/>
  <c r="E59" i="358"/>
  <c r="E92" i="358" s="1"/>
  <c r="K92" i="358" s="1"/>
  <c r="I58" i="358"/>
  <c r="I91" i="358" s="1"/>
  <c r="O91" i="358" s="1"/>
  <c r="H58" i="358"/>
  <c r="G58" i="358"/>
  <c r="G91" i="358" s="1"/>
  <c r="M91" i="358" s="1"/>
  <c r="F58" i="358"/>
  <c r="F91" i="358" s="1"/>
  <c r="L91" i="358" s="1"/>
  <c r="E58" i="358"/>
  <c r="E91" i="358" s="1"/>
  <c r="K91" i="358" s="1"/>
  <c r="D48" i="358"/>
  <c r="D47" i="358"/>
  <c r="D46" i="358"/>
  <c r="D44" i="358"/>
  <c r="I42" i="358"/>
  <c r="I38" i="358"/>
  <c r="H38" i="358"/>
  <c r="H42" i="358" s="1"/>
  <c r="G38" i="358"/>
  <c r="G42" i="358" s="1"/>
  <c r="F38" i="358"/>
  <c r="E35" i="358"/>
  <c r="I32" i="358"/>
  <c r="I35" i="358" s="1"/>
  <c r="H32" i="358"/>
  <c r="H73" i="358" s="1"/>
  <c r="G32" i="358"/>
  <c r="G73" i="358" s="1"/>
  <c r="F32" i="358"/>
  <c r="F73" i="358" s="1"/>
  <c r="E32" i="358"/>
  <c r="E73" i="358" s="1"/>
  <c r="E28" i="358"/>
  <c r="E113" i="358" s="1"/>
  <c r="E27" i="358"/>
  <c r="E26" i="358"/>
  <c r="E118" i="358" s="1"/>
  <c r="E25" i="358"/>
  <c r="E24" i="358"/>
  <c r="E23" i="358"/>
  <c r="E22" i="358"/>
  <c r="E21" i="358"/>
  <c r="E29" i="358" s="1"/>
  <c r="I18" i="358"/>
  <c r="H18" i="358"/>
  <c r="G18" i="358"/>
  <c r="F18" i="358"/>
  <c r="E18" i="358"/>
  <c r="M7" i="358"/>
  <c r="N7" i="358" s="1"/>
  <c r="O7" i="358" s="1"/>
  <c r="L7" i="358"/>
  <c r="F7" i="358"/>
  <c r="G7" i="358" s="1"/>
  <c r="H7" i="358" s="1"/>
  <c r="I7" i="358" s="1"/>
  <c r="G107" i="358" l="1"/>
  <c r="M107" i="358" s="1"/>
  <c r="E107" i="358"/>
  <c r="K107" i="358" s="1"/>
  <c r="K113" i="358"/>
  <c r="F107" i="358"/>
  <c r="L107" i="358" s="1"/>
  <c r="H107" i="358"/>
  <c r="N107" i="358" s="1"/>
  <c r="K102" i="358"/>
  <c r="F35" i="358"/>
  <c r="E42" i="358"/>
  <c r="E101" i="358"/>
  <c r="G35" i="358"/>
  <c r="F42" i="358"/>
  <c r="D49" i="358"/>
  <c r="E67" i="358" s="1"/>
  <c r="E56" i="358"/>
  <c r="H35" i="358"/>
  <c r="E102" i="358"/>
  <c r="E71" i="358" l="1"/>
  <c r="E74" i="358"/>
  <c r="F66" i="358" s="1"/>
  <c r="K115" i="358"/>
  <c r="K110" i="358"/>
  <c r="E110" i="358"/>
  <c r="E115" i="358"/>
  <c r="E116" i="358" s="1"/>
  <c r="E103" i="358"/>
  <c r="F99" i="358" s="1"/>
  <c r="E63" i="358"/>
  <c r="E60" i="358"/>
  <c r="K116" i="358"/>
  <c r="K103" i="358"/>
  <c r="L99" i="358" s="1"/>
  <c r="D50" i="358"/>
  <c r="F55" i="358" l="1"/>
  <c r="L101" i="358"/>
  <c r="F71" i="358"/>
  <c r="F74" i="358" s="1"/>
  <c r="G66" i="358" s="1"/>
  <c r="F101" i="358"/>
  <c r="F102" i="358"/>
  <c r="D51" i="358"/>
  <c r="E78" i="358" s="1"/>
  <c r="L103" i="358" l="1"/>
  <c r="M99" i="358" s="1"/>
  <c r="G74" i="358"/>
  <c r="H66" i="358" s="1"/>
  <c r="G71" i="358"/>
  <c r="L102" i="358"/>
  <c r="D52" i="358"/>
  <c r="K78" i="358"/>
  <c r="E82" i="358"/>
  <c r="E93" i="358" s="1"/>
  <c r="E121" i="358" s="1"/>
  <c r="E84" i="358"/>
  <c r="E89" i="358"/>
  <c r="F115" i="358"/>
  <c r="F116" i="358" s="1"/>
  <c r="F110" i="358"/>
  <c r="F60" i="358"/>
  <c r="F103" i="358"/>
  <c r="G99" i="358" s="1"/>
  <c r="K82" i="358" l="1"/>
  <c r="K93" i="358" s="1"/>
  <c r="K121" i="358" s="1"/>
  <c r="E106" i="358"/>
  <c r="E111" i="358" s="1"/>
  <c r="E124" i="358" s="1"/>
  <c r="E95" i="358"/>
  <c r="K89" i="358"/>
  <c r="K120" i="358" s="1"/>
  <c r="K122" i="358" s="1"/>
  <c r="E120" i="358"/>
  <c r="E122" i="358" s="1"/>
  <c r="H71" i="358"/>
  <c r="H74" i="358"/>
  <c r="I66" i="358" s="1"/>
  <c r="G101" i="358"/>
  <c r="G103" i="358" s="1"/>
  <c r="H99" i="358" s="1"/>
  <c r="G102" i="358"/>
  <c r="M102" i="358"/>
  <c r="M101" i="358"/>
  <c r="E85" i="358"/>
  <c r="F63" i="358"/>
  <c r="L115" i="358"/>
  <c r="L116" i="358" s="1"/>
  <c r="L110" i="358"/>
  <c r="H101" i="358" l="1"/>
  <c r="H102" i="358" s="1"/>
  <c r="M115" i="358"/>
  <c r="M116" i="358" s="1"/>
  <c r="M110" i="358"/>
  <c r="G115" i="358"/>
  <c r="G116" i="358" s="1"/>
  <c r="G110" i="358"/>
  <c r="M103" i="358"/>
  <c r="N99" i="358" s="1"/>
  <c r="I71" i="358"/>
  <c r="I74" i="358" s="1"/>
  <c r="G55" i="358"/>
  <c r="F77" i="358"/>
  <c r="E96" i="358"/>
  <c r="K84" i="358"/>
  <c r="H115" i="358" l="1"/>
  <c r="H116" i="358" s="1"/>
  <c r="H110" i="358"/>
  <c r="H103" i="358"/>
  <c r="I99" i="358" s="1"/>
  <c r="K106" i="358"/>
  <c r="K111" i="358" s="1"/>
  <c r="K124" i="358" s="1"/>
  <c r="K95" i="358"/>
  <c r="K85" i="358"/>
  <c r="N101" i="358"/>
  <c r="N102" i="358" s="1"/>
  <c r="F85" i="358"/>
  <c r="F82" i="358"/>
  <c r="F93" i="358" s="1"/>
  <c r="F121" i="358" s="1"/>
  <c r="F84" i="358"/>
  <c r="F88" i="358"/>
  <c r="F120" i="358" s="1"/>
  <c r="F122" i="358" s="1"/>
  <c r="G60" i="358"/>
  <c r="N115" i="358" l="1"/>
  <c r="N116" i="358" s="1"/>
  <c r="N110" i="358"/>
  <c r="N103" i="358"/>
  <c r="O99" i="358" s="1"/>
  <c r="L77" i="358"/>
  <c r="K96" i="358"/>
  <c r="G77" i="358"/>
  <c r="F96" i="358"/>
  <c r="G63" i="358"/>
  <c r="F106" i="358"/>
  <c r="F111" i="358" s="1"/>
  <c r="F124" i="358" s="1"/>
  <c r="F95" i="358"/>
  <c r="I101" i="358"/>
  <c r="I102" i="358"/>
  <c r="I103" i="358"/>
  <c r="O101" i="358" l="1"/>
  <c r="O102" i="358" s="1"/>
  <c r="H55" i="358"/>
  <c r="G82" i="358"/>
  <c r="G93" i="358" s="1"/>
  <c r="G121" i="358" s="1"/>
  <c r="G88" i="358"/>
  <c r="G120" i="358" s="1"/>
  <c r="I115" i="358"/>
  <c r="I116" i="358" s="1"/>
  <c r="I110" i="358"/>
  <c r="L82" i="358"/>
  <c r="L93" i="358" s="1"/>
  <c r="L121" i="358" s="1"/>
  <c r="L84" i="358"/>
  <c r="L88" i="358"/>
  <c r="L120" i="358" s="1"/>
  <c r="L122" i="358" s="1"/>
  <c r="O115" i="358" l="1"/>
  <c r="O116" i="358" s="1"/>
  <c r="O110" i="358"/>
  <c r="O103" i="358"/>
  <c r="L106" i="358"/>
  <c r="L111" i="358" s="1"/>
  <c r="L124" i="358" s="1"/>
  <c r="L95" i="358"/>
  <c r="G122" i="358"/>
  <c r="L85" i="358"/>
  <c r="H63" i="358"/>
  <c r="H60" i="358"/>
  <c r="G84" i="358"/>
  <c r="G85" i="358" s="1"/>
  <c r="H77" i="358" l="1"/>
  <c r="G96" i="358"/>
  <c r="M77" i="358"/>
  <c r="L96" i="358"/>
  <c r="G106" i="358"/>
  <c r="G111" i="358" s="1"/>
  <c r="G124" i="358" s="1"/>
  <c r="G95" i="358"/>
  <c r="I55" i="358"/>
  <c r="M82" i="358" l="1"/>
  <c r="M93" i="358" s="1"/>
  <c r="M121" i="358" s="1"/>
  <c r="M88" i="358"/>
  <c r="M120" i="358" s="1"/>
  <c r="M122" i="358" s="1"/>
  <c r="I60" i="358"/>
  <c r="H82" i="358"/>
  <c r="H93" i="358" s="1"/>
  <c r="H121" i="358" s="1"/>
  <c r="H84" i="358"/>
  <c r="H85" i="358" s="1"/>
  <c r="H88" i="358"/>
  <c r="H120" i="358" s="1"/>
  <c r="H122" i="358" s="1"/>
  <c r="I77" i="358" l="1"/>
  <c r="H96" i="358"/>
  <c r="M85" i="358"/>
  <c r="I63" i="358"/>
  <c r="H106" i="358"/>
  <c r="H111" i="358" s="1"/>
  <c r="H124" i="358" s="1"/>
  <c r="H95" i="358"/>
  <c r="M84" i="358"/>
  <c r="N77" i="358" l="1"/>
  <c r="M96" i="358"/>
  <c r="M106" i="358"/>
  <c r="M111" i="358" s="1"/>
  <c r="M124" i="358" s="1"/>
  <c r="M95" i="358"/>
  <c r="I82" i="358"/>
  <c r="I93" i="358" s="1"/>
  <c r="I121" i="358" s="1"/>
  <c r="I88" i="358"/>
  <c r="I120" i="358" s="1"/>
  <c r="N82" i="358" l="1"/>
  <c r="N93" i="358" s="1"/>
  <c r="N121" i="358" s="1"/>
  <c r="N84" i="358"/>
  <c r="N88" i="358"/>
  <c r="N120" i="358" s="1"/>
  <c r="N122" i="358" s="1"/>
  <c r="I122" i="358"/>
  <c r="I84" i="358"/>
  <c r="I106" i="358" l="1"/>
  <c r="I111" i="358" s="1"/>
  <c r="I124" i="358" s="1"/>
  <c r="I95" i="358"/>
  <c r="N106" i="358"/>
  <c r="N111" i="358" s="1"/>
  <c r="N124" i="358" s="1"/>
  <c r="N95" i="358"/>
  <c r="I85" i="358"/>
  <c r="I96" i="358" s="1"/>
  <c r="N85" i="358"/>
  <c r="O77" i="358" l="1"/>
  <c r="N96" i="358"/>
  <c r="O82" i="358" l="1"/>
  <c r="O93" i="358" s="1"/>
  <c r="O121" i="358" s="1"/>
  <c r="O84" i="358"/>
  <c r="O88" i="358"/>
  <c r="O120" i="358" s="1"/>
  <c r="O122" i="358" s="1"/>
  <c r="O106" i="358" l="1"/>
  <c r="O111" i="358" s="1"/>
  <c r="O124" i="358" s="1"/>
  <c r="O95" i="358"/>
  <c r="O85" i="358"/>
  <c r="O96" i="358" s="1"/>
  <c r="C64" i="351"/>
  <c r="C63" i="351"/>
  <c r="C65" i="351" s="1"/>
  <c r="C44" i="351"/>
  <c r="G63" i="351" s="1"/>
  <c r="F32" i="351"/>
  <c r="E32" i="351"/>
  <c r="C32" i="351"/>
  <c r="E29" i="351"/>
  <c r="D29" i="351"/>
  <c r="D23" i="351"/>
  <c r="C20" i="351"/>
  <c r="G19" i="351"/>
  <c r="F19" i="351"/>
  <c r="D19" i="351"/>
  <c r="H18" i="351"/>
  <c r="C7" i="351"/>
  <c r="D32" i="351" s="1"/>
  <c r="C6" i="351"/>
  <c r="H19" i="351" s="1"/>
  <c r="C5" i="351"/>
  <c r="G18" i="351" s="1"/>
  <c r="E44" i="351" l="1"/>
  <c r="F44" i="351"/>
  <c r="D20" i="351"/>
  <c r="E19" i="351"/>
  <c r="D25" i="351"/>
  <c r="F29" i="351"/>
  <c r="G32" i="351"/>
  <c r="B32" i="351" s="1"/>
  <c r="G44" i="351"/>
  <c r="G29" i="351"/>
  <c r="C45" i="351"/>
  <c r="C46" i="351" s="1"/>
  <c r="H29" i="351"/>
  <c r="D63" i="351"/>
  <c r="E18" i="351"/>
  <c r="D24" i="351"/>
  <c r="C33" i="351" s="1"/>
  <c r="E63" i="351"/>
  <c r="F18" i="351"/>
  <c r="F63" i="351"/>
  <c r="D18" i="351"/>
  <c r="C29" i="351"/>
  <c r="D44" i="351"/>
  <c r="C34" i="351" l="1"/>
  <c r="D46" i="351"/>
  <c r="C35" i="351"/>
  <c r="E24" i="351"/>
  <c r="D33" i="351" s="1"/>
  <c r="D45" i="351"/>
  <c r="E25" i="351"/>
  <c r="D34" i="351" s="1"/>
  <c r="E20" i="351"/>
  <c r="D64" i="351"/>
  <c r="D65" i="351"/>
  <c r="F24" i="351" l="1"/>
  <c r="E33" i="351" s="1"/>
  <c r="E45" i="351"/>
  <c r="E46" i="351" s="1"/>
  <c r="F25" i="351"/>
  <c r="E34" i="351" s="1"/>
  <c r="F20" i="351"/>
  <c r="E64" i="351"/>
  <c r="E65" i="351" s="1"/>
  <c r="D35" i="351"/>
  <c r="E35" i="351" l="1"/>
  <c r="F45" i="351"/>
  <c r="F46" i="351" s="1"/>
  <c r="G25" i="351"/>
  <c r="F34" i="351" s="1"/>
  <c r="G24" i="351"/>
  <c r="F33" i="351" s="1"/>
  <c r="F64" i="351"/>
  <c r="F65" i="351" s="1"/>
  <c r="G20" i="351"/>
  <c r="F35" i="351" l="1"/>
  <c r="G45" i="351"/>
  <c r="G46" i="351" s="1"/>
  <c r="H25" i="351"/>
  <c r="G34" i="351" s="1"/>
  <c r="B34" i="351" s="1"/>
  <c r="G64" i="351"/>
  <c r="G65" i="351" s="1"/>
  <c r="E66" i="351" s="1"/>
  <c r="E67" i="351" s="1"/>
  <c r="H20" i="351"/>
  <c r="H24" i="351"/>
  <c r="G33" i="351" s="1"/>
  <c r="C66" i="351"/>
  <c r="C67" i="351" s="1"/>
  <c r="G66" i="351" l="1"/>
  <c r="G67" i="351" s="1"/>
  <c r="G35" i="351"/>
  <c r="B35" i="351" s="1"/>
  <c r="B33" i="351"/>
  <c r="D66" i="351"/>
  <c r="D67" i="351" s="1"/>
  <c r="G47" i="351"/>
  <c r="G48" i="351" s="1"/>
  <c r="C47" i="351"/>
  <c r="C48" i="351" s="1"/>
  <c r="D47" i="351"/>
  <c r="D48" i="351" s="1"/>
  <c r="E47" i="351"/>
  <c r="E48" i="351" s="1"/>
  <c r="F66" i="351"/>
  <c r="F67" i="351" s="1"/>
  <c r="F47" i="351"/>
  <c r="F48" i="351" s="1"/>
  <c r="B37" i="351" l="1"/>
  <c r="C53" i="351"/>
  <c r="C70" i="351"/>
  <c r="C72" i="351" l="1"/>
  <c r="C74" i="351"/>
  <c r="C75" i="351" s="1"/>
  <c r="D70" i="351" s="1"/>
  <c r="C55" i="351"/>
  <c r="C57" i="351"/>
  <c r="C58" i="351" l="1"/>
  <c r="D53" i="351" s="1"/>
  <c r="D55" i="351"/>
  <c r="D57" i="351"/>
  <c r="D72" i="351"/>
  <c r="D74" i="351"/>
  <c r="D75" i="351" l="1"/>
  <c r="E70" i="351" s="1"/>
  <c r="D58" i="351"/>
  <c r="E53" i="351" s="1"/>
  <c r="E72" i="351"/>
  <c r="E74" i="351" s="1"/>
  <c r="E55" i="351"/>
  <c r="E57" i="351" s="1"/>
  <c r="E58" i="351" l="1"/>
  <c r="F53" i="351" s="1"/>
  <c r="E75" i="351"/>
  <c r="F70" i="351" s="1"/>
  <c r="F72" i="351"/>
  <c r="F74" i="351" s="1"/>
  <c r="F55" i="351"/>
  <c r="F75" i="351" l="1"/>
  <c r="G70" i="351" s="1"/>
  <c r="G72" i="351" s="1"/>
  <c r="F57" i="351"/>
  <c r="F58" i="351" s="1"/>
  <c r="G53" i="351" s="1"/>
  <c r="G74" i="351" l="1"/>
  <c r="G75" i="351" s="1"/>
  <c r="G55" i="351"/>
  <c r="G57" i="351" l="1"/>
  <c r="G58" i="351" s="1"/>
  <c r="F15" i="345" l="1"/>
  <c r="D40" i="342"/>
  <c r="D42" i="342" s="1"/>
  <c r="F38" i="342"/>
  <c r="G38" i="342" s="1"/>
  <c r="H38" i="342" s="1"/>
  <c r="I38" i="342" s="1"/>
  <c r="J38" i="342" s="1"/>
  <c r="K38" i="342" s="1"/>
  <c r="L38" i="342" s="1"/>
  <c r="M38" i="342" s="1"/>
  <c r="E38" i="342"/>
  <c r="F31" i="342"/>
  <c r="G31" i="342" s="1"/>
  <c r="H31" i="342" s="1"/>
  <c r="I31" i="342" s="1"/>
  <c r="J31" i="342" s="1"/>
  <c r="K31" i="342" s="1"/>
  <c r="L31" i="342" s="1"/>
  <c r="M31" i="342" s="1"/>
  <c r="E31" i="342"/>
  <c r="D28" i="342"/>
  <c r="D30" i="342" s="1"/>
  <c r="F27" i="342"/>
  <c r="F28" i="342" s="1"/>
  <c r="F30" i="342" s="1"/>
  <c r="E27" i="342"/>
  <c r="E28" i="342" s="1"/>
  <c r="E30" i="342" s="1"/>
  <c r="D23" i="342"/>
  <c r="E29" i="342" s="1"/>
  <c r="F29" i="342" s="1"/>
  <c r="G29" i="342" s="1"/>
  <c r="H29" i="342" s="1"/>
  <c r="I29" i="342" s="1"/>
  <c r="J29" i="342" s="1"/>
  <c r="K29" i="342" s="1"/>
  <c r="L29" i="342" s="1"/>
  <c r="M29" i="342" s="1"/>
  <c r="D41" i="342" l="1"/>
  <c r="G27" i="342"/>
  <c r="G28" i="342" l="1"/>
  <c r="G30" i="342" s="1"/>
  <c r="H27" i="342"/>
  <c r="I27" i="342" l="1"/>
  <c r="H28" i="342"/>
  <c r="H30" i="342" s="1"/>
  <c r="I28" i="342" l="1"/>
  <c r="I30" i="342" s="1"/>
  <c r="J27" i="342"/>
  <c r="J28" i="342" l="1"/>
  <c r="J30" i="342" s="1"/>
  <c r="K27" i="342"/>
  <c r="K28" i="342" l="1"/>
  <c r="K30" i="342" s="1"/>
  <c r="L27" i="342"/>
  <c r="L28" i="342" l="1"/>
  <c r="L30" i="342" s="1"/>
  <c r="M27" i="342"/>
  <c r="M28" i="342" s="1"/>
  <c r="M30" i="342" s="1"/>
  <c r="I32" i="342" s="1"/>
  <c r="I33" i="342" s="1"/>
  <c r="I34" i="342" s="1"/>
  <c r="L32" i="342" l="1"/>
  <c r="L33" i="342" s="1"/>
  <c r="L34" i="342" s="1"/>
  <c r="M33" i="342"/>
  <c r="M34" i="342" s="1"/>
  <c r="D32" i="342"/>
  <c r="D33" i="342" s="1"/>
  <c r="D34" i="342" s="1"/>
  <c r="D43" i="342" s="1"/>
  <c r="H32" i="342"/>
  <c r="H33" i="342" s="1"/>
  <c r="H34" i="342" s="1"/>
  <c r="K32" i="342"/>
  <c r="K33" i="342" s="1"/>
  <c r="K34" i="342" s="1"/>
  <c r="F32" i="342"/>
  <c r="F33" i="342" s="1"/>
  <c r="F34" i="342" s="1"/>
  <c r="E32" i="342"/>
  <c r="E33" i="342" s="1"/>
  <c r="E34" i="342" s="1"/>
  <c r="J32" i="342"/>
  <c r="J33" i="342" s="1"/>
  <c r="J34" i="342" s="1"/>
  <c r="G32" i="342"/>
  <c r="G33" i="342" s="1"/>
  <c r="G34" i="342" s="1"/>
  <c r="D44" i="342" l="1"/>
  <c r="D45" i="342" l="1"/>
  <c r="E39" i="342"/>
  <c r="E40" i="342" l="1"/>
  <c r="E42" i="342" s="1"/>
  <c r="E41" i="342" l="1"/>
  <c r="E43" i="342" s="1"/>
  <c r="E44" i="342"/>
  <c r="F39" i="342" l="1"/>
  <c r="E45" i="342"/>
  <c r="F40" i="342" l="1"/>
  <c r="F42" i="342" s="1"/>
  <c r="F41" i="342" l="1"/>
  <c r="F43" i="342" s="1"/>
  <c r="F44" i="342"/>
  <c r="G39" i="342" l="1"/>
  <c r="F45" i="342"/>
  <c r="G40" i="342" l="1"/>
  <c r="G42" i="342" s="1"/>
  <c r="G41" i="342" l="1"/>
  <c r="G43" i="342" s="1"/>
  <c r="G44" i="342"/>
  <c r="H39" i="342" l="1"/>
  <c r="G45" i="342"/>
  <c r="H40" i="342" l="1"/>
  <c r="H42" i="342" s="1"/>
  <c r="H41" i="342" l="1"/>
  <c r="H43" i="342" s="1"/>
  <c r="H44" i="342"/>
  <c r="I39" i="342" l="1"/>
  <c r="H45" i="342"/>
  <c r="I40" i="342" l="1"/>
  <c r="I42" i="342" s="1"/>
  <c r="I41" i="342"/>
  <c r="I43" i="342" s="1"/>
  <c r="I44" i="342" s="1"/>
  <c r="J39" i="342" l="1"/>
  <c r="I45" i="342"/>
  <c r="J40" i="342" l="1"/>
  <c r="J42" i="342" s="1"/>
  <c r="J41" i="342"/>
  <c r="J43" i="342" s="1"/>
  <c r="J44" i="342" s="1"/>
  <c r="K39" i="342" l="1"/>
  <c r="J45" i="342"/>
  <c r="K40" i="342" l="1"/>
  <c r="K42" i="342" s="1"/>
  <c r="K41" i="342" l="1"/>
  <c r="K43" i="342" s="1"/>
  <c r="K44" i="342" s="1"/>
  <c r="L39" i="342" l="1"/>
  <c r="K45" i="342"/>
  <c r="L41" i="342" l="1"/>
  <c r="L43" i="342" s="1"/>
  <c r="L40" i="342"/>
  <c r="L42" i="342" s="1"/>
  <c r="L44" i="342" l="1"/>
  <c r="M39" i="342" l="1"/>
  <c r="L45" i="342"/>
  <c r="M40" i="342" l="1"/>
  <c r="M42" i="342" s="1"/>
  <c r="N42" i="342" s="1"/>
  <c r="M41" i="342"/>
  <c r="M43" i="342" s="1"/>
  <c r="N43" i="342" s="1"/>
  <c r="N45" i="342" s="1"/>
  <c r="M44" i="342" l="1"/>
  <c r="M45" i="342" s="1"/>
  <c r="B18" i="335" l="1"/>
  <c r="B19" i="335" s="1"/>
  <c r="B20" i="335" s="1"/>
  <c r="B21" i="335" s="1"/>
  <c r="B22" i="335" s="1"/>
  <c r="B23" i="335" s="1"/>
  <c r="B24" i="335" s="1"/>
  <c r="B25" i="335" s="1"/>
  <c r="B26" i="335" s="1"/>
  <c r="B27" i="335" s="1"/>
  <c r="B28" i="335" s="1"/>
  <c r="B29" i="335" s="1"/>
  <c r="B30" i="335" s="1"/>
  <c r="B31" i="335" s="1"/>
  <c r="B32" i="335" s="1"/>
  <c r="B33" i="335" s="1"/>
  <c r="B34" i="335" s="1"/>
  <c r="B35" i="335" s="1"/>
  <c r="B36" i="335" s="1"/>
  <c r="A18" i="335"/>
  <c r="A19" i="335" s="1"/>
  <c r="A20" i="335" s="1"/>
  <c r="A21" i="335" s="1"/>
  <c r="A22" i="335" s="1"/>
  <c r="A23" i="335" s="1"/>
  <c r="A24" i="335" s="1"/>
  <c r="A25" i="335" s="1"/>
  <c r="A26" i="335" s="1"/>
  <c r="A27" i="335" s="1"/>
  <c r="A28" i="335" s="1"/>
  <c r="A29" i="335" s="1"/>
  <c r="A30" i="335" s="1"/>
  <c r="A31" i="335" s="1"/>
  <c r="A32" i="335" s="1"/>
  <c r="A33" i="335" s="1"/>
  <c r="A34" i="335" s="1"/>
  <c r="A35" i="335" s="1"/>
  <c r="A36" i="335" s="1"/>
  <c r="B17" i="335"/>
  <c r="A17" i="335"/>
  <c r="D11" i="331"/>
  <c r="D13" i="331" s="1"/>
  <c r="D15" i="331" s="1"/>
  <c r="C11" i="331"/>
  <c r="C13" i="331" s="1"/>
  <c r="C15" i="331" s="1"/>
  <c r="C28" i="328"/>
  <c r="A22" i="320"/>
  <c r="A23" i="320" s="1"/>
  <c r="A24" i="320" s="1"/>
  <c r="A25" i="320" s="1"/>
  <c r="A26" i="320" s="1"/>
  <c r="A27" i="320" s="1"/>
  <c r="A28" i="320" s="1"/>
  <c r="A29" i="320" s="1"/>
  <c r="A30" i="320" s="1"/>
  <c r="A31" i="320" s="1"/>
  <c r="A32" i="320" s="1"/>
  <c r="A33" i="320" s="1"/>
  <c r="A34" i="320" s="1"/>
  <c r="A35" i="320" s="1"/>
  <c r="A36" i="320" s="1"/>
  <c r="A37" i="320" s="1"/>
  <c r="A38" i="320" s="1"/>
  <c r="A39" i="320" s="1"/>
  <c r="A40" i="320" s="1"/>
  <c r="A41" i="320" s="1"/>
  <c r="A42" i="320" s="1"/>
  <c r="D19" i="320"/>
  <c r="E19" i="320" s="1"/>
  <c r="F19" i="320" s="1"/>
  <c r="G19" i="320" s="1"/>
  <c r="H19" i="320" s="1"/>
  <c r="I19" i="320" s="1"/>
  <c r="J19" i="320" s="1"/>
  <c r="K19" i="320" s="1"/>
  <c r="L19" i="320" s="1"/>
  <c r="M19" i="320" s="1"/>
  <c r="N19" i="320" s="1"/>
  <c r="O19" i="320" s="1"/>
  <c r="P19" i="320" s="1"/>
  <c r="Q19" i="320" s="1"/>
  <c r="R19" i="320" s="1"/>
  <c r="S19" i="320" s="1"/>
  <c r="T19" i="320" s="1"/>
  <c r="U19" i="320" s="1"/>
  <c r="V19" i="320" s="1"/>
  <c r="C19" i="3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D7" authorId="0" shapeId="0" xr:uid="{D61A478E-8AC4-4F4F-BC65-F64B3A28E7DB}">
      <text>
        <r>
          <rPr>
            <b/>
            <sz val="9"/>
            <color indexed="81"/>
            <rFont val="Tahoma"/>
            <family val="2"/>
          </rPr>
          <t>initial recognition</t>
        </r>
        <r>
          <rPr>
            <sz val="9"/>
            <color indexed="81"/>
            <rFont val="Tahoma"/>
            <family val="2"/>
          </rPr>
          <t xml:space="preserve">
</t>
        </r>
      </text>
    </comment>
  </commentList>
</comments>
</file>

<file path=xl/sharedStrings.xml><?xml version="1.0" encoding="utf-8"?>
<sst xmlns="http://schemas.openxmlformats.org/spreadsheetml/2006/main" count="1732" uniqueCount="1226">
  <si>
    <t xml:space="preserve"> </t>
  </si>
  <si>
    <t>C2</t>
  </si>
  <si>
    <t>C4</t>
  </si>
  <si>
    <t>Year 1</t>
  </si>
  <si>
    <t>QUESTION 1 (d)</t>
  </si>
  <si>
    <t>Response for parts (a), (b) and (c) are to be provided in the Word document.</t>
  </si>
  <si>
    <t>Response for part (d) can be provided either in the word document or in this tab.</t>
  </si>
  <si>
    <t>Tables for part (d)</t>
  </si>
  <si>
    <r>
      <rPr>
        <sz val="7"/>
        <color rgb="FF002060"/>
        <rFont val="Times New Roman"/>
        <family val="1"/>
      </rPr>
      <t xml:space="preserve"> </t>
    </r>
    <r>
      <rPr>
        <sz val="12"/>
        <color rgb="FF002060"/>
        <rFont val="Times New Roman"/>
        <family val="1"/>
      </rPr>
      <t>LHR has three major business units, denoted X, Y, and Z.  You are given the following information on the capital allocation to each unit:</t>
    </r>
  </si>
  <si>
    <t>Business unit</t>
  </si>
  <si>
    <t>Stand-alone risk capital</t>
  </si>
  <si>
    <t>X</t>
  </si>
  <si>
    <t>Y</t>
  </si>
  <si>
    <t>Z</t>
  </si>
  <si>
    <t>Combination of business units</t>
  </si>
  <si>
    <t>Required risk capital</t>
  </si>
  <si>
    <t>X+Y</t>
  </si>
  <si>
    <t>Y+Z</t>
  </si>
  <si>
    <t>X+Z</t>
  </si>
  <si>
    <t>X+Y+Z</t>
  </si>
  <si>
    <t>Critique the following statements:</t>
  </si>
  <si>
    <t>A.    Unit X is the least profitable business unit due to its large risk capital requirement.  If LHR decides to eliminate a business unit, it should eliminate X.</t>
  </si>
  <si>
    <t>ANSWER:</t>
  </si>
  <si>
    <t>B.    The required risk capital of the combined X+Y+Z should be allocated across the business units.</t>
  </si>
  <si>
    <t>C.    Having unallocated risk capital would indicate LHR is not covering all of its risks.</t>
  </si>
  <si>
    <t>QUESTION 2</t>
  </si>
  <si>
    <t>Response for parts (a) and (c)(ii) are to be provided in the Word document.</t>
  </si>
  <si>
    <t>AKL has the following Best’s Capital Adequacy Ratio (BCAR) components:</t>
  </si>
  <si>
    <t>C1-Non Eq</t>
  </si>
  <si>
    <t>C1-Eq</t>
  </si>
  <si>
    <t>C3-Int</t>
  </si>
  <si>
    <t>C3-Mkt</t>
  </si>
  <si>
    <t>Available Capital</t>
  </si>
  <si>
    <t xml:space="preserve">Net Required Capital = </t>
  </si>
  <si>
    <t>Show all work, including writing out relevant formulas used in any calculations</t>
  </si>
  <si>
    <t>Each transaction would impact capital as follows:</t>
  </si>
  <si>
    <t>Buy term</t>
  </si>
  <si>
    <t>Sell VA</t>
  </si>
  <si>
    <t>Both</t>
  </si>
  <si>
    <t>Change in Net Required Capital</t>
  </si>
  <si>
    <t>Change in Available Capital</t>
  </si>
  <si>
    <t>Response for part (d) is to be provided in this tab.</t>
  </si>
  <si>
    <t>Assume:</t>
  </si>
  <si>
    <t>Response for part (a) is to be provided in this tab.</t>
  </si>
  <si>
    <t>Year 2</t>
  </si>
  <si>
    <t>Year 3</t>
  </si>
  <si>
    <t>Gross Premiums</t>
  </si>
  <si>
    <t>Response for part (a) is to be provided in the Word document.</t>
  </si>
  <si>
    <t>QUESTION 1 (c)</t>
  </si>
  <si>
    <t>Responses for parts (a), (b), and (d) are to be provided in the Word document.</t>
  </si>
  <si>
    <t>Response for part (c) is to be provided in this tab.</t>
  </si>
  <si>
    <r>
      <t>(</t>
    </r>
    <r>
      <rPr>
        <i/>
        <sz val="12"/>
        <color theme="1"/>
        <rFont val="Times New Roman"/>
        <family val="1"/>
      </rPr>
      <t>4 points</t>
    </r>
    <r>
      <rPr>
        <sz val="12"/>
        <color theme="1"/>
        <rFont val="Times New Roman"/>
        <family val="1"/>
      </rPr>
      <t>)  You are given the following information from Company B’s actuarial appraisal:</t>
    </r>
  </si>
  <si>
    <t>Year 4</t>
  </si>
  <si>
    <t>Year 5</t>
  </si>
  <si>
    <t>After tax earnings</t>
  </si>
  <si>
    <t>(inforce and future business)</t>
  </si>
  <si>
    <t>Required capital</t>
  </si>
  <si>
    <t>Adjusted book value</t>
  </si>
  <si>
    <t>40 </t>
  </si>
  <si>
    <t>Discount rate</t>
  </si>
  <si>
    <t>Before tax investment earnings rate on capital</t>
  </si>
  <si>
    <t xml:space="preserve">Tax rate </t>
  </si>
  <si>
    <t>Terminal valuations at end of Year 5</t>
  </si>
  <si>
    <t xml:space="preserve">   Net present value of after tax earnings for</t>
  </si>
  <si>
    <r>
      <t xml:space="preserve">   Years 6 and later (inforce and future business)</t>
    </r>
    <r>
      <rPr>
        <sz val="8"/>
        <color theme="1"/>
        <rFont val="Times New Roman"/>
        <family val="1"/>
      </rPr>
      <t> </t>
    </r>
  </si>
  <si>
    <r>
      <t xml:space="preserve">   Net present value of required capital charges for</t>
    </r>
    <r>
      <rPr>
        <sz val="8"/>
        <color theme="1"/>
        <rFont val="Times New Roman"/>
        <family val="1"/>
      </rPr>
      <t> </t>
    </r>
  </si>
  <si>
    <t xml:space="preserve">   Years 6 and later</t>
  </si>
  <si>
    <t>Calculate the actuarial appraisal value of Company B.  Show all work.</t>
  </si>
  <si>
    <t>Benefits</t>
  </si>
  <si>
    <t>QUESTION 4 (b)</t>
  </si>
  <si>
    <t>Premium</t>
  </si>
  <si>
    <t>Responses for part (c) are to be provided in the Word document.</t>
  </si>
  <si>
    <t>Responses for parts (a) and (b) are to be provided in this tab.</t>
  </si>
  <si>
    <t>Responses for parts (a), (b), and (c) are to be provided in the Word document.</t>
  </si>
  <si>
    <t>QUESTION 2 (a), (b)</t>
  </si>
  <si>
    <t xml:space="preserve">PCLC Life Insurance Company is currently an A-rated company by S&amp;P. </t>
  </si>
  <si>
    <t xml:space="preserve">The company has recently implemented economic capital models in order to explore the implications of various capital levels on multiple key business objectives. </t>
  </si>
  <si>
    <t>The following information is provided:</t>
  </si>
  <si>
    <t>Risk threshold by financial variables</t>
  </si>
  <si>
    <t>Financial Variable</t>
  </si>
  <si>
    <t>Risk Threshold-Name</t>
  </si>
  <si>
    <t>Risk Threshold-Quantity</t>
  </si>
  <si>
    <t>Company Rating</t>
  </si>
  <si>
    <t>RBC Ratio</t>
  </si>
  <si>
    <t>Default</t>
  </si>
  <si>
    <t>100% of authorized level</t>
  </si>
  <si>
    <t xml:space="preserve"> D or Below</t>
  </si>
  <si>
    <t>S&amp;P Capital Adequacy Ratio (CAR)</t>
  </si>
  <si>
    <t>One-Notch Downgrade</t>
  </si>
  <si>
    <t>BB or Below</t>
  </si>
  <si>
    <t>Simulated capital information</t>
  </si>
  <si>
    <t>RBC Default</t>
  </si>
  <si>
    <t>S&amp;P CAR</t>
  </si>
  <si>
    <t>Probability of One-Notch downgrade or default over 1 year</t>
  </si>
  <si>
    <t>Value at Risk (VaR) of RBC or S&amp;P CAR</t>
  </si>
  <si>
    <t>Mean of risk capital</t>
  </si>
  <si>
    <t>Annual Discount Rate</t>
  </si>
  <si>
    <r>
      <t>(a)</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Calculate the amount of RBC and S&amp;P capital available for release for year 1.  Show all work. </t>
    </r>
  </si>
  <si>
    <r>
      <t>(b)</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You are given the following additional capital information:</t>
    </r>
  </si>
  <si>
    <r>
      <t>·</t>
    </r>
    <r>
      <rPr>
        <sz val="7"/>
        <color theme="1"/>
        <rFont val="Times New Roman"/>
        <family val="1"/>
      </rPr>
      <t xml:space="preserve">         </t>
    </r>
    <r>
      <rPr>
        <sz val="12"/>
        <color theme="1"/>
        <rFont val="Times New Roman"/>
        <family val="1"/>
      </rPr>
      <t>Capital available for release based on the current economic capital model with VaR 99.5 over 1 year: 400,000</t>
    </r>
  </si>
  <si>
    <t>Capital available for release in year 2</t>
  </si>
  <si>
    <t>RBC (Default)</t>
  </si>
  <si>
    <t>S&amp;P CAR (Downgrade)</t>
  </si>
  <si>
    <t xml:space="preserve">Contrast the difference between PCLC’s results when using the economic capital method versus the multi-objective approach.  </t>
  </si>
  <si>
    <t>Year</t>
  </si>
  <si>
    <t>Total</t>
  </si>
  <si>
    <t>QUESTION 6 (a)</t>
  </si>
  <si>
    <t>Responses for part (c) are to be provided in this tab.</t>
  </si>
  <si>
    <t>QUESTION 8 (c)</t>
  </si>
  <si>
    <t>Responses for parts (a) and (b) are to be provided in the Word document.</t>
  </si>
  <si>
    <t>Whole Life</t>
  </si>
  <si>
    <t>Probability of One-Notch downgrade or default</t>
  </si>
  <si>
    <t>Risk Threshold-Quantity (%-age of  of authorized level)</t>
  </si>
  <si>
    <t>VaR of RBC or S&amp;P CAR</t>
  </si>
  <si>
    <t>excess capital ratio over threshold</t>
  </si>
  <si>
    <t>=Simulated capital - risk threshold</t>
  </si>
  <si>
    <t>=160%-100%</t>
  </si>
  <si>
    <t>=190%-150%</t>
  </si>
  <si>
    <t>Capital Release at end of year 1</t>
  </si>
  <si>
    <t>=excessl capital ratio x mean of risk capital</t>
  </si>
  <si>
    <t>Current capital available for release</t>
  </si>
  <si>
    <t>= capital release at end of year 1 / (1+disc)</t>
  </si>
  <si>
    <t>QUESTION 2 (d)</t>
  </si>
  <si>
    <t>Responses for part (d) are to be provided in this tab.</t>
  </si>
  <si>
    <r>
      <t>(d)</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You are given one of the projected scenarios from ALF’s cash flow model. </t>
    </r>
  </si>
  <si>
    <t>Projection period</t>
  </si>
  <si>
    <t>Statement value of assets</t>
  </si>
  <si>
    <t>One – Year Treasury Rate</t>
  </si>
  <si>
    <t>N/A</t>
  </si>
  <si>
    <t>Calculate the scenario reserve.  Show all work.</t>
  </si>
  <si>
    <t>Responses for part (b) are to be provided in this tab.</t>
  </si>
  <si>
    <t>Eligible Deposits</t>
  </si>
  <si>
    <t xml:space="preserve">Show all work. </t>
  </si>
  <si>
    <t>Responses for parts (a) are to be provided in the Word document.</t>
  </si>
  <si>
    <t>information on these tabs are no longer relevant.</t>
  </si>
  <si>
    <t>Course ILALFMC (ILA 201 - I)</t>
  </si>
  <si>
    <t>This workbook contains all Excel questions and solutions for Course ILALFMC (ILA 201-I) Curated Past Exams for the 2025-2026 curriculum.</t>
  </si>
  <si>
    <t>QUESTION 6 (d)</t>
  </si>
  <si>
    <t>Responses for parts (a), (b), (c ), and (d)(i) are to be provided in the Word document.</t>
  </si>
  <si>
    <t>Responses for part (d)(ii) are to be provided in this tab.</t>
  </si>
  <si>
    <t>You are given the following information from a LICAT exercise:</t>
  </si>
  <si>
    <t>Present value of probability-weighted cash flows:</t>
  </si>
  <si>
    <t>Components of Base Solvency Buffer from LICAT:</t>
  </si>
  <si>
    <t>Credit Risks</t>
  </si>
  <si>
    <t>Market Risks</t>
  </si>
  <si>
    <t xml:space="preserve">   Interest Rates</t>
  </si>
  <si>
    <t xml:space="preserve">   Others</t>
  </si>
  <si>
    <t>Insurance Risks</t>
  </si>
  <si>
    <t xml:space="preserve">   Level</t>
  </si>
  <si>
    <t xml:space="preserve">   Trend</t>
  </si>
  <si>
    <t xml:space="preserve">   Volatility</t>
  </si>
  <si>
    <t xml:space="preserve">   Catastrophe</t>
  </si>
  <si>
    <t>Operational Risks</t>
  </si>
  <si>
    <t>Diversification Adjustment</t>
  </si>
  <si>
    <t>Percentile</t>
  </si>
  <si>
    <t>Standard Normal Value</t>
  </si>
  <si>
    <r>
      <t>d) (ii)</t>
    </r>
    <r>
      <rPr>
        <sz val="7"/>
        <color theme="1"/>
        <rFont val="Times New Roman"/>
        <family val="1"/>
      </rPr>
      <t xml:space="preserve">     </t>
    </r>
    <r>
      <rPr>
        <sz val="12"/>
        <color theme="1"/>
        <rFont val="Times New Roman"/>
        <family val="1"/>
      </rPr>
      <t xml:space="preserve">(3 points) Calculate the minimum risk adjustment for non-financial risk required to get a confidence level </t>
    </r>
  </si>
  <si>
    <t xml:space="preserve">                            corresponding to the 75th percentile given the data above. Show all work.</t>
  </si>
  <si>
    <t>ANSWER</t>
  </si>
  <si>
    <t>QUESTION 7(b)</t>
  </si>
  <si>
    <r>
      <t>Company DEF sells a mix of 10-year term (T10) and whole life (WL) products</t>
    </r>
    <r>
      <rPr>
        <sz val="8"/>
        <color theme="1"/>
        <rFont val="Times New Roman"/>
        <family val="1"/>
      </rPr>
      <t> </t>
    </r>
    <r>
      <rPr>
        <sz val="12"/>
        <color theme="1"/>
        <rFont val="Times New Roman"/>
        <family val="1"/>
      </rPr>
      <t>.  The T10 products can be renewed at guaranteed premiums</t>
    </r>
  </si>
  <si>
    <t xml:space="preserve">rates at the option of the policyholder.  You are the actuary in charge of converting the modeling of reserves under CALM to IFRS 17.   </t>
  </si>
  <si>
    <t>All policies were issued on the same date, at the start of Year 1. After inputting the assumptions into the modeling system, the following</t>
  </si>
  <si>
    <t>output is produced by the valuation system.</t>
  </si>
  <si>
    <t>T10</t>
  </si>
  <si>
    <t>PV of premiums</t>
  </si>
  <si>
    <r>
      <t>13,000,000</t>
    </r>
    <r>
      <rPr>
        <sz val="8"/>
        <color theme="1"/>
        <rFont val="Times New Roman"/>
        <family val="1"/>
      </rPr>
      <t> </t>
    </r>
  </si>
  <si>
    <t>PV of benefits</t>
  </si>
  <si>
    <t>PV of directly attributable maintenance expenses</t>
  </si>
  <si>
    <t>Directly attributable acquisition expenses</t>
  </si>
  <si>
    <t>Risk Adjustment</t>
  </si>
  <si>
    <t>T10 Coverage Units</t>
  </si>
  <si>
    <t>Whole Life Coverage Units</t>
  </si>
  <si>
    <r>
      <t>20,000,000</t>
    </r>
    <r>
      <rPr>
        <sz val="8"/>
        <color theme="1"/>
        <rFont val="Times New Roman"/>
        <family val="1"/>
      </rPr>
      <t> </t>
    </r>
  </si>
  <si>
    <t>Total over Coverage Period</t>
  </si>
  <si>
    <r>
      <rPr>
        <sz val="12"/>
        <color theme="1"/>
        <rFont val="Times New Roman"/>
        <family val="1"/>
      </rPr>
      <t>b)</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xml:space="preserve">) </t>
    </r>
  </si>
  <si>
    <r>
      <rPr>
        <sz val="7"/>
        <rFont val="Times New Roman"/>
        <family val="1"/>
      </rPr>
      <t xml:space="preserve">          (</t>
    </r>
    <r>
      <rPr>
        <sz val="12"/>
        <rFont val="Times New Roman"/>
        <family val="1"/>
      </rPr>
      <t>i)</t>
    </r>
    <r>
      <rPr>
        <i/>
        <sz val="7"/>
        <color rgb="FFFF0000"/>
        <rFont val="Times New Roman"/>
        <family val="1"/>
      </rPr>
      <t xml:space="preserve">            </t>
    </r>
    <r>
      <rPr>
        <i/>
        <sz val="12"/>
        <color theme="1"/>
        <rFont val="Times New Roman"/>
        <family val="1"/>
      </rPr>
      <t>(2 points)</t>
    </r>
    <r>
      <rPr>
        <sz val="12"/>
        <color theme="1"/>
        <rFont val="Times New Roman"/>
        <family val="1"/>
      </rPr>
      <t xml:space="preserve"> Calculate the total opening CSM for the portfolio containing both the T10 and whole life products</t>
    </r>
  </si>
  <si>
    <r>
      <rPr>
        <sz val="12"/>
        <rFont val="Times New Roman"/>
        <family val="1"/>
      </rPr>
      <t xml:space="preserve">        (ii)</t>
    </r>
    <r>
      <rPr>
        <sz val="7"/>
        <color rgb="FFFF0000"/>
        <rFont val="Times New Roman"/>
        <family val="1"/>
      </rPr>
      <t>           </t>
    </r>
    <r>
      <rPr>
        <i/>
        <sz val="7"/>
        <color rgb="FFFF0000"/>
        <rFont val="Times New Roman"/>
        <family val="1"/>
      </rPr>
      <t xml:space="preserve"> </t>
    </r>
    <r>
      <rPr>
        <i/>
        <sz val="12"/>
        <color theme="1"/>
        <rFont val="Times New Roman"/>
        <family val="1"/>
      </rPr>
      <t>(2 points)</t>
    </r>
    <r>
      <rPr>
        <sz val="12"/>
        <color theme="1"/>
        <rFont val="Times New Roman"/>
        <family val="1"/>
      </rPr>
      <t xml:space="preserve"> The insurance company updated the mortality assumption for years starting in year 2, which resulted in an increase
</t>
    </r>
  </si>
  <si>
    <t xml:space="preserve">                      in the best estimate liability of 1,000,000 for the T10 block, and a decrease in the best estimate liability of 1,100,000 for the whole life block. 
</t>
  </si>
  <si>
    <t xml:space="preserve">                      Calculate the CSM at the end of years 1 and 2 assuming a 0% interest rate. </t>
  </si>
  <si>
    <t>QUESTION 9(b)(ii) &amp; (iii)</t>
  </si>
  <si>
    <t>Responses for parts (a), (b)(i), and (b)(iv) are to be provided in the Word document.</t>
  </si>
  <si>
    <t>Responses for parts (b)(ii) and (b(iii) are to be provided in this tab.</t>
  </si>
  <si>
    <t xml:space="preserve">(b)  Maple Leaf Life is exploring a new product to be launched in 2022 where the death benefit in any given year </t>
  </si>
  <si>
    <t xml:space="preserve">      is indexed to the company’s stock price. For a policy issued to a 50-year-old, you are given the table below:</t>
  </si>
  <si>
    <t>·       The expected stock price over the projection period, which is projected to increase every five years</t>
  </si>
  <si>
    <t>·       The Exemption Test Policy accumulating fund rate issued at age n:  ETP AF(n)</t>
  </si>
  <si>
    <t>·       The policy cash value rate: Pol CV</t>
  </si>
  <si>
    <t>·       The policy net premium reserve rate: Pol NPR</t>
  </si>
  <si>
    <t xml:space="preserve">The ETP AF(n), Pol CV, and Pol NPR are expressed as rates per thousand of coverage.  In addition, for tax-testing purposes, </t>
  </si>
  <si>
    <t>death benefit growth should be assigned to the ETP with the earliest issue date, where possible.</t>
  </si>
  <si>
    <t>Attained Age</t>
  </si>
  <si>
    <t>Policy Year</t>
  </si>
  <si>
    <t>Stock Price</t>
  </si>
  <si>
    <t>ETP AF(50)</t>
  </si>
  <si>
    <t>ETP AF(55)</t>
  </si>
  <si>
    <t>ETP AF(60)</t>
  </si>
  <si>
    <t>Pol CV</t>
  </si>
  <si>
    <t>Pol NPR</t>
  </si>
  <si>
    <t>-</t>
  </si>
  <si>
    <r>
      <t>(b) (ii)</t>
    </r>
    <r>
      <rPr>
        <sz val="7"/>
        <color rgb="FF000000"/>
        <rFont val="Times New Roman"/>
        <family val="1"/>
      </rPr>
      <t xml:space="preserve">                   </t>
    </r>
    <r>
      <rPr>
        <sz val="12"/>
        <color rgb="FF000000"/>
        <rFont val="Times New Roman"/>
        <family val="1"/>
      </rPr>
      <t>(4 points) Demonstrate that the policy is projected to pass tax exempt testing in year 15, but not in year 19.</t>
    </r>
  </si>
  <si>
    <r>
      <t>(b) (iii)</t>
    </r>
    <r>
      <rPr>
        <sz val="7"/>
        <color rgb="FF000000"/>
        <rFont val="Times New Roman"/>
        <family val="1"/>
      </rPr>
      <t xml:space="preserve">                 </t>
    </r>
    <r>
      <rPr>
        <sz val="12"/>
        <color rgb="FF000000"/>
        <rFont val="Times New Roman"/>
        <family val="1"/>
      </rPr>
      <t>(1 point) Determine a new Pol CV pattern to ensure the policy passes tax exempt texting in year 19.</t>
    </r>
  </si>
  <si>
    <t>Response for parts (b), and (c)(i) are to be provided in this tab.</t>
  </si>
  <si>
    <r>
      <t>(b)</t>
    </r>
    <r>
      <rPr>
        <sz val="7"/>
        <color rgb="FF002060"/>
        <rFont val="Times New Roman"/>
        <family val="1"/>
      </rPr>
      <t xml:space="preserve">            </t>
    </r>
    <r>
      <rPr>
        <sz val="12"/>
        <color rgb="FF002060"/>
        <rFont val="Times New Roman"/>
        <family val="1"/>
      </rPr>
      <t>(</t>
    </r>
    <r>
      <rPr>
        <i/>
        <sz val="12"/>
        <color rgb="FF002060"/>
        <rFont val="Times New Roman"/>
        <family val="1"/>
      </rPr>
      <t>1 point</t>
    </r>
    <r>
      <rPr>
        <sz val="12"/>
        <color rgb="FF002060"/>
        <rFont val="Times New Roman"/>
        <family val="1"/>
      </rPr>
      <t>)  Calculate the BCAR for AKL.</t>
    </r>
  </si>
  <si>
    <r>
      <t>(c)</t>
    </r>
    <r>
      <rPr>
        <sz val="7"/>
        <color rgb="FF002060"/>
        <rFont val="Times New Roman"/>
        <family val="1"/>
      </rPr>
      <t>           </t>
    </r>
    <r>
      <rPr>
        <sz val="12"/>
        <color rgb="FF002060"/>
        <rFont val="Times New Roman"/>
        <family val="1"/>
      </rPr>
      <t xml:space="preserve">AKL is considering buying a block of term life insurance business and selling a block of variable annuity (VA) business.  </t>
    </r>
  </si>
  <si>
    <r>
      <t>(i)</t>
    </r>
    <r>
      <rPr>
        <sz val="7"/>
        <color rgb="FF002060"/>
        <rFont val="Times New Roman"/>
        <family val="1"/>
      </rPr>
      <t xml:space="preserve">             </t>
    </r>
    <r>
      <rPr>
        <sz val="12"/>
        <color rgb="FF002060"/>
        <rFont val="Times New Roman"/>
        <family val="1"/>
      </rPr>
      <t>Recommend whether AKL should buy the term life insurance block, sell the variable annuity block, do both or do neither based on the BCAR score only.</t>
    </r>
  </si>
  <si>
    <t>Response for parts (b) is to be provided in this tab.</t>
  </si>
  <si>
    <r>
      <t>(b)            (5</t>
    </r>
    <r>
      <rPr>
        <i/>
        <sz val="12"/>
        <color rgb="FF002060"/>
        <rFont val="Times New Roman"/>
        <family val="1"/>
      </rPr>
      <t xml:space="preserve"> points</t>
    </r>
    <r>
      <rPr>
        <sz val="12"/>
        <color rgb="FF002060"/>
        <rFont val="Times New Roman"/>
        <family val="1"/>
      </rPr>
      <t>)  You are given the following information for a UL policy issued at age 40:</t>
    </r>
  </si>
  <si>
    <t>Level Face Amount = 100,000</t>
  </si>
  <si>
    <t>Beginning of Year Projected Account Value at Issue</t>
  </si>
  <si>
    <t>6+</t>
  </si>
  <si>
    <t>Determine the tax-exempt status at issue of the above policy:</t>
  </si>
  <si>
    <t>(i) issued in 2015</t>
  </si>
  <si>
    <t>(ii) issued in 2020</t>
  </si>
  <si>
    <t>QUESTION 6</t>
  </si>
  <si>
    <t>Response for parts (a) and (b) are to be provided in this tab.</t>
  </si>
  <si>
    <r>
      <t>(a)</t>
    </r>
    <r>
      <rPr>
        <sz val="7"/>
        <color theme="4" tint="-0.499984740745262"/>
        <rFont val="Times New Roman"/>
        <family val="1"/>
      </rPr>
      <t xml:space="preserve">            </t>
    </r>
    <r>
      <rPr>
        <sz val="12"/>
        <color theme="4" tint="-0.499984740745262"/>
        <rFont val="Times New Roman"/>
        <family val="1"/>
      </rPr>
      <t>(</t>
    </r>
    <r>
      <rPr>
        <i/>
        <sz val="12"/>
        <color theme="4" tint="-0.499984740745262"/>
        <rFont val="Times New Roman"/>
        <family val="1"/>
      </rPr>
      <t>7 points</t>
    </r>
    <r>
      <rPr>
        <sz val="12"/>
        <color theme="4" tint="-0.499984740745262"/>
        <rFont val="Times New Roman"/>
        <family val="1"/>
      </rPr>
      <t>)  You are given the following information about groups of insurance contracts that were issued in prior years:</t>
    </r>
  </si>
  <si>
    <t>Impact of Current Year Assumption Changes on the Fulfilment Cash Flows</t>
  </si>
  <si>
    <t>IFRS 17 Group</t>
  </si>
  <si>
    <t>CSM at beginning of current year</t>
  </si>
  <si>
    <t>Mortality</t>
  </si>
  <si>
    <t>Lapse</t>
  </si>
  <si>
    <t>Discount Rates</t>
  </si>
  <si>
    <t>A</t>
  </si>
  <si>
    <t>B</t>
  </si>
  <si>
    <t>Interest Rate for Current Year</t>
  </si>
  <si>
    <t>Coverage Units</t>
  </si>
  <si>
    <t>At Current Period Start</t>
  </si>
  <si>
    <t>At Current Period End</t>
  </si>
  <si>
    <t>At Initial Recognition</t>
  </si>
  <si>
    <t>Current Service</t>
  </si>
  <si>
    <t>Future Service</t>
  </si>
  <si>
    <t>The IFRS 17 general measurement approach is used for this block of business.</t>
  </si>
  <si>
    <t xml:space="preserve">Calculate the CSM for each of Groups A and B at the end of the current year.  </t>
  </si>
  <si>
    <r>
      <t>(b)            (</t>
    </r>
    <r>
      <rPr>
        <i/>
        <sz val="12"/>
        <color theme="4" tint="-0.499984740745262"/>
        <rFont val="Times New Roman"/>
        <family val="1"/>
      </rPr>
      <t>5 points</t>
    </r>
    <r>
      <rPr>
        <sz val="12"/>
        <color theme="4" tint="-0.499984740745262"/>
        <rFont val="Times New Roman"/>
        <family val="1"/>
      </rPr>
      <t>)  You are given the following information for a Single Premium 3-Year Term Life insurance product:</t>
    </r>
  </si>
  <si>
    <t>Face Amount:</t>
  </si>
  <si>
    <t>Single Premium:</t>
  </si>
  <si>
    <t>Annual Expected Mortality Rate</t>
  </si>
  <si>
    <t>Annual Expected Lapse Rate</t>
  </si>
  <si>
    <t>Risk Free Rate</t>
  </si>
  <si>
    <t>Liquidity Adjustment</t>
  </si>
  <si>
    <t>Asset Earned Rate</t>
  </si>
  <si>
    <t>Risk Adjustment (as % of expected claims)</t>
  </si>
  <si>
    <t>Annual Attributable Maintenance Expense</t>
  </si>
  <si>
    <t>Attributable Acquisition Expense (excluding Commissions)</t>
  </si>
  <si>
    <t>·       The single premium is received at the start of year 1</t>
  </si>
  <si>
    <t>·       Acquisition expenses and commissions are incurred at the start of year 1</t>
  </si>
  <si>
    <t>·       Claims and maintenance expenses are incurred at the end of each year</t>
  </si>
  <si>
    <t>·       The IFRS 17 general measurement approach is used for this block of business.</t>
  </si>
  <si>
    <t>Determine the maximum amount of commission that can be paid at time of issue without making this contract onerous at inception under the IFRS 17 standard.</t>
  </si>
  <si>
    <t>QUESTION 10</t>
  </si>
  <si>
    <t>You are given the following for ABC Life:</t>
  </si>
  <si>
    <t>Net Tier 1 Capital</t>
  </si>
  <si>
    <t>Net Tier 2 Capital</t>
  </si>
  <si>
    <t>Surplus Allowance</t>
  </si>
  <si>
    <t>Credit Risk Component</t>
  </si>
  <si>
    <t>Market Risk Component</t>
  </si>
  <si>
    <t>Gross Written Premium in Past 12 Months</t>
  </si>
  <si>
    <t>Business Volume Required Capital Factor for Direct Written Premiums</t>
  </si>
  <si>
    <t>General Required Capital Factor for Credit, Insurance and Market Risk</t>
  </si>
  <si>
    <t>Total Net Amount at Risk</t>
  </si>
  <si>
    <t>Total Face Amount</t>
  </si>
  <si>
    <t>Next Year's Expected Claims</t>
  </si>
  <si>
    <t>Standard Deviation of Next Year's Projected Net Death Claims</t>
  </si>
  <si>
    <t>Present Value (PV) of Best Estimate Cash Flows (CFs)</t>
  </si>
  <si>
    <t>Change in PV of CFs for Each 10% Increase in Mortality Assumptions</t>
  </si>
  <si>
    <t>Change in PV of CFs for Each 10% Reduction in Future Mortality Improvement Assumptions in the First 25 Years</t>
  </si>
  <si>
    <t>PV of Shocked CFs with 1 per 1000 Increase in Deaths in the Year Following the Reporting Date</t>
  </si>
  <si>
    <t>PV of Shocked CFs with +/-30% Change in Lapses in the First Year Following the Reporting Date</t>
  </si>
  <si>
    <t>PV of Shocked CFs with +/-60% Change in Lapses in the First Year Following the Reporting Date</t>
  </si>
  <si>
    <t>PV of Shocked CFs with Absolute 20% Increase in Lapses in the First Year Following the Reporting Date</t>
  </si>
  <si>
    <t>Correlation Coefficient</t>
  </si>
  <si>
    <t>Mortality Risk</t>
  </si>
  <si>
    <t>Lapse Risk</t>
  </si>
  <si>
    <r>
      <t>·</t>
    </r>
    <r>
      <rPr>
        <sz val="7"/>
        <color theme="4" tint="-0.499984740745262"/>
        <rFont val="Times New Roman"/>
        <family val="1"/>
      </rPr>
      <t xml:space="preserve">       </t>
    </r>
    <r>
      <rPr>
        <sz val="12"/>
        <color theme="4" tint="-0.499984740745262"/>
        <rFont val="Times New Roman"/>
        <family val="1"/>
      </rPr>
      <t>All business sold by ABC Life is non-par.</t>
    </r>
  </si>
  <si>
    <r>
      <t>·</t>
    </r>
    <r>
      <rPr>
        <sz val="7"/>
        <color theme="4" tint="-0.499984740745262"/>
        <rFont val="Times New Roman"/>
        <family val="1"/>
      </rPr>
      <t xml:space="preserve">       </t>
    </r>
    <r>
      <rPr>
        <sz val="12"/>
        <color theme="4" tint="-0.499984740745262"/>
        <rFont val="Times New Roman"/>
        <family val="1"/>
      </rPr>
      <t>There is no large increase in business volume.</t>
    </r>
  </si>
  <si>
    <r>
      <t>·</t>
    </r>
    <r>
      <rPr>
        <sz val="7"/>
        <color theme="4" tint="-0.499984740745262"/>
        <rFont val="Times New Roman"/>
        <family val="1"/>
      </rPr>
      <t xml:space="preserve">       </t>
    </r>
    <r>
      <rPr>
        <sz val="12"/>
        <color theme="4" tint="-0.499984740745262"/>
        <rFont val="Times New Roman"/>
        <family val="1"/>
      </rPr>
      <t>There is no reinsurance.</t>
    </r>
  </si>
  <si>
    <r>
      <t>·</t>
    </r>
    <r>
      <rPr>
        <sz val="7"/>
        <color theme="4" tint="-0.499984740745262"/>
        <rFont val="Times New Roman"/>
        <family val="1"/>
      </rPr>
      <t xml:space="preserve">       </t>
    </r>
    <r>
      <rPr>
        <sz val="12"/>
        <color theme="4" tint="-0.499984740745262"/>
        <rFont val="Times New Roman"/>
        <family val="1"/>
      </rPr>
      <t>The mortality risk component can be approximated by grossing up the shocked impact proportionally.</t>
    </r>
  </si>
  <si>
    <r>
      <t xml:space="preserve">(a) </t>
    </r>
    <r>
      <rPr>
        <i/>
        <sz val="12"/>
        <color rgb="FF002060"/>
        <rFont val="Times New Roman"/>
        <family val="1"/>
      </rPr>
      <t>(10 points)</t>
    </r>
    <r>
      <rPr>
        <sz val="12"/>
        <color rgb="FF002060"/>
        <rFont val="Times New Roman"/>
        <family val="1"/>
      </rPr>
      <t xml:space="preserve">  Calculate the following, with respect to LICAT:</t>
    </r>
  </si>
  <si>
    <t>(i) The total mortality risk capital requirement.</t>
  </si>
  <si>
    <t>(ii) The lapse risk capital requirement.</t>
  </si>
  <si>
    <t>(iii) The operational risk capital requirement.</t>
  </si>
  <si>
    <t>(iv) The diversified risk capital requirement.</t>
  </si>
  <si>
    <t xml:space="preserve">(v) The total insurance risk capital requirement. </t>
  </si>
  <si>
    <r>
      <t>(b)</t>
    </r>
    <r>
      <rPr>
        <sz val="7"/>
        <color theme="4" tint="-0.499984740745262"/>
        <rFont val="Times New Roman"/>
        <family val="1"/>
      </rPr>
      <t xml:space="preserve">            </t>
    </r>
    <r>
      <rPr>
        <sz val="12"/>
        <color theme="4" tint="-0.499984740745262"/>
        <rFont val="Times New Roman"/>
        <family val="1"/>
      </rPr>
      <t>(</t>
    </r>
    <r>
      <rPr>
        <i/>
        <sz val="12"/>
        <color theme="4" tint="-0.499984740745262"/>
        <rFont val="Times New Roman"/>
        <family val="1"/>
      </rPr>
      <t>2 points</t>
    </r>
    <r>
      <rPr>
        <sz val="12"/>
        <color theme="4" tint="-0.499984740745262"/>
        <rFont val="Times New Roman"/>
        <family val="1"/>
      </rPr>
      <t xml:space="preserve">) </t>
    </r>
  </si>
  <si>
    <t>(i) Calculate the Core LICAT ratio.</t>
  </si>
  <si>
    <t>(ii) Calculate the Total LICAT ratio.</t>
  </si>
  <si>
    <t>(iii) Comment on the capital standing of this company.</t>
  </si>
  <si>
    <r>
      <t>b)</t>
    </r>
    <r>
      <rPr>
        <sz val="7"/>
        <color theme="1"/>
        <rFont val="Times New Roman"/>
        <family val="1"/>
      </rPr>
      <t xml:space="preserve">     </t>
    </r>
    <r>
      <rPr>
        <sz val="12"/>
        <color theme="1"/>
        <rFont val="Times New Roman"/>
        <family val="1"/>
      </rPr>
      <t>(4 points) MXP Life issues a 10-year renewal term product, where the guaranteed premiums are renewed every 10 years based on attained age. Premiums are guaranteed at issue until the maximum insured age of 75.</t>
    </r>
  </si>
  <si>
    <t>You are given the following for policy year 11:</t>
  </si>
  <si>
    <t>Total Lapse rate</t>
  </si>
  <si>
    <t>Underlying lapse rate</t>
  </si>
  <si>
    <t>Selective proportion</t>
  </si>
  <si>
    <r>
      <t>G(t)</t>
    </r>
    <r>
      <rPr>
        <b/>
        <vertAlign val="superscript"/>
        <sz val="12"/>
        <color theme="1"/>
        <rFont val="Times New Roman"/>
        <family val="1"/>
      </rPr>
      <t>1</t>
    </r>
    <r>
      <rPr>
        <b/>
        <sz val="12"/>
        <color theme="1"/>
        <rFont val="Times New Roman"/>
        <family val="1"/>
      </rPr>
      <t xml:space="preserve"> (Grading period)</t>
    </r>
  </si>
  <si>
    <t>15 years</t>
  </si>
  <si>
    <t>R (mortality level parameter)</t>
  </si>
  <si>
    <t>G(1)</t>
  </si>
  <si>
    <t>CIA 97-04 Mortality Table - 9704 MNS N</t>
  </si>
  <si>
    <t>Issue age</t>
  </si>
  <si>
    <t>Duration</t>
  </si>
  <si>
    <t xml:space="preserve">Assume the best estimate mortality assumption is 100% of the CIA97-04 mortality table (as given above for select ages and durations). Further assume there are no Margins for Adverse Deviations (MfADs) and no mortality improvement.  </t>
  </si>
  <si>
    <t xml:space="preserve">Calculate the expected mortality rate in policy year 11 for a policy issued to a Male Non-Smoker Age 45 for each of the following methods.  Show all work. </t>
  </si>
  <si>
    <r>
      <t>i)</t>
    </r>
    <r>
      <rPr>
        <sz val="7"/>
        <color theme="1"/>
        <rFont val="Times New Roman"/>
        <family val="1"/>
      </rPr>
      <t xml:space="preserve">      </t>
    </r>
    <r>
      <rPr>
        <sz val="12"/>
        <color theme="1"/>
        <rFont val="Times New Roman"/>
        <family val="1"/>
      </rPr>
      <t>VTP 2</t>
    </r>
  </si>
  <si>
    <t xml:space="preserve">ANSWER: </t>
  </si>
  <si>
    <r>
      <t>ii)</t>
    </r>
    <r>
      <rPr>
        <sz val="7"/>
        <color theme="1"/>
        <rFont val="Times New Roman"/>
        <family val="1"/>
      </rPr>
      <t xml:space="preserve">    </t>
    </r>
    <r>
      <rPr>
        <sz val="12"/>
        <color theme="1"/>
        <rFont val="Times New Roman"/>
        <family val="1"/>
      </rPr>
      <t>Dukes-MacDonald 1</t>
    </r>
  </si>
  <si>
    <r>
      <t>iii)</t>
    </r>
    <r>
      <rPr>
        <sz val="7"/>
        <color theme="1"/>
        <rFont val="Times New Roman"/>
        <family val="1"/>
      </rPr>
      <t xml:space="preserve">  </t>
    </r>
    <r>
      <rPr>
        <sz val="12"/>
        <color theme="1"/>
        <rFont val="Times New Roman"/>
        <family val="1"/>
      </rPr>
      <t>Dukes-MacDonald 2</t>
    </r>
  </si>
  <si>
    <r>
      <t>iv)</t>
    </r>
    <r>
      <rPr>
        <sz val="7"/>
        <color theme="1"/>
        <rFont val="Times New Roman"/>
        <family val="1"/>
      </rPr>
      <t xml:space="preserve">   </t>
    </r>
    <r>
      <rPr>
        <sz val="12"/>
        <color theme="1"/>
        <rFont val="Times New Roman"/>
        <family val="1"/>
      </rPr>
      <t>Becker-Kitsos</t>
    </r>
  </si>
  <si>
    <t>QUESTION 5 (d)</t>
  </si>
  <si>
    <t>Responses for parts (a), (b) and (c) are to be provided in the Word document.</t>
  </si>
  <si>
    <r>
      <t>d)</t>
    </r>
    <r>
      <rPr>
        <sz val="7"/>
        <color theme="1"/>
        <rFont val="Times New Roman"/>
        <family val="1"/>
      </rPr>
      <t xml:space="preserve">      </t>
    </r>
    <r>
      <rPr>
        <sz val="12"/>
        <color theme="1"/>
        <rFont val="Times New Roman"/>
        <family val="1"/>
      </rPr>
      <t>(3 points) A stochastic model generates the following interest rate results</t>
    </r>
  </si>
  <si>
    <t>Scenario #</t>
  </si>
  <si>
    <t>Short term</t>
  </si>
  <si>
    <t>Long term</t>
  </si>
  <si>
    <t xml:space="preserve">Determine if these rates meet the following calibration criteria, consistent with the requirements in the CIA Standards of Practice.  Show all work. </t>
  </si>
  <si>
    <t>Slope</t>
  </si>
  <si>
    <t>Responses for part (b) is to be provided in the Word document.</t>
  </si>
  <si>
    <t>For an in-force block of whole life insurance policies with a critical illness rider you are given:</t>
  </si>
  <si>
    <r>
      <t>·</t>
    </r>
    <r>
      <rPr>
        <sz val="7"/>
        <color theme="1"/>
        <rFont val="Times New Roman"/>
        <family val="1"/>
      </rPr>
      <t xml:space="preserve">       </t>
    </r>
    <r>
      <rPr>
        <sz val="12"/>
        <color theme="1"/>
        <rFont val="Times New Roman"/>
        <family val="1"/>
      </rPr>
      <t>All the polices are issued on the same day.</t>
    </r>
  </si>
  <si>
    <r>
      <t>·</t>
    </r>
    <r>
      <rPr>
        <sz val="7"/>
        <color theme="1"/>
        <rFont val="Times New Roman"/>
        <family val="1"/>
      </rPr>
      <t xml:space="preserve">       </t>
    </r>
    <r>
      <rPr>
        <sz val="12"/>
        <color theme="1"/>
        <rFont val="Times New Roman"/>
        <family val="1"/>
      </rPr>
      <t xml:space="preserve">All the policies are included in one IFRS 17 group. </t>
    </r>
  </si>
  <si>
    <r>
      <t>·</t>
    </r>
    <r>
      <rPr>
        <sz val="7"/>
        <color theme="1"/>
        <rFont val="Times New Roman"/>
        <family val="1"/>
      </rPr>
      <t xml:space="preserve">       </t>
    </r>
    <r>
      <rPr>
        <sz val="12"/>
        <color theme="1"/>
        <rFont val="Times New Roman"/>
        <family val="1"/>
      </rPr>
      <t>The locked-in discount rate at contract issue is 3%.</t>
    </r>
  </si>
  <si>
    <r>
      <t>·</t>
    </r>
    <r>
      <rPr>
        <sz val="7"/>
        <color theme="1"/>
        <rFont val="Times New Roman"/>
        <family val="1"/>
      </rPr>
      <t xml:space="preserve">       </t>
    </r>
    <r>
      <rPr>
        <sz val="12"/>
        <color theme="1"/>
        <rFont val="Times New Roman"/>
        <family val="1"/>
      </rPr>
      <t>Deaths are the only decrements and occur at year end.</t>
    </r>
  </si>
  <si>
    <r>
      <t>·</t>
    </r>
    <r>
      <rPr>
        <sz val="7"/>
        <color theme="1"/>
        <rFont val="Times New Roman"/>
        <family val="1"/>
      </rPr>
      <t xml:space="preserve">       </t>
    </r>
    <r>
      <rPr>
        <sz val="12"/>
        <color theme="1"/>
        <rFont val="Times New Roman"/>
        <family val="1"/>
      </rPr>
      <t>The whole life base policy has 8 remaining years of coverage.</t>
    </r>
  </si>
  <si>
    <r>
      <t>·</t>
    </r>
    <r>
      <rPr>
        <sz val="7"/>
        <color theme="1"/>
        <rFont val="Times New Roman"/>
        <family val="1"/>
      </rPr>
      <t xml:space="preserve">       </t>
    </r>
    <r>
      <rPr>
        <sz val="12"/>
        <color theme="1"/>
        <rFont val="Times New Roman"/>
        <family val="1"/>
      </rPr>
      <t>The Contractual Service Margin (CSM) opening balance for the whole life base policies is 500.</t>
    </r>
  </si>
  <si>
    <r>
      <t>·</t>
    </r>
    <r>
      <rPr>
        <sz val="7"/>
        <color theme="1"/>
        <rFont val="Times New Roman"/>
        <family val="1"/>
      </rPr>
      <t xml:space="preserve">       </t>
    </r>
    <r>
      <rPr>
        <sz val="12"/>
        <color theme="1"/>
        <rFont val="Times New Roman"/>
        <family val="1"/>
      </rPr>
      <t>The critical illness rider has 5 remaining years of coverage.</t>
    </r>
  </si>
  <si>
    <r>
      <t>·</t>
    </r>
    <r>
      <rPr>
        <sz val="7"/>
        <color theme="1"/>
        <rFont val="Times New Roman"/>
        <family val="1"/>
      </rPr>
      <t xml:space="preserve">       </t>
    </r>
    <r>
      <rPr>
        <sz val="12"/>
        <color theme="1"/>
        <rFont val="Times New Roman"/>
        <family val="1"/>
      </rPr>
      <t>The CSM opening balance for critical illness rider is 100.</t>
    </r>
  </si>
  <si>
    <r>
      <t>·</t>
    </r>
    <r>
      <rPr>
        <sz val="7"/>
        <color theme="1"/>
        <rFont val="Times New Roman"/>
        <family val="1"/>
      </rPr>
      <t xml:space="preserve">       </t>
    </r>
    <r>
      <rPr>
        <sz val="12"/>
        <color theme="1"/>
        <rFont val="Times New Roman"/>
        <family val="1"/>
      </rPr>
      <t>Assume coverage units are not discounted. Coverage and tPx for each year are provided in the following table:</t>
    </r>
  </si>
  <si>
    <t>Whole life base coverage Maximum Coverage</t>
  </si>
  <si>
    <t>Critical Illness Rider Maximum Coverage</t>
  </si>
  <si>
    <t>tPx</t>
  </si>
  <si>
    <r>
      <t>(a)</t>
    </r>
    <r>
      <rPr>
        <sz val="7"/>
        <color theme="1"/>
        <rFont val="Times New Roman"/>
        <family val="1"/>
      </rPr>
      <t xml:space="preserve">       </t>
    </r>
    <r>
      <rPr>
        <sz val="12"/>
        <color theme="1"/>
        <rFont val="Times New Roman"/>
        <family val="1"/>
      </rPr>
      <t>(</t>
    </r>
    <r>
      <rPr>
        <i/>
        <sz val="12"/>
        <color theme="1"/>
        <rFont val="Times New Roman"/>
        <family val="1"/>
      </rPr>
      <t>7 points</t>
    </r>
    <r>
      <rPr>
        <sz val="12"/>
        <color theme="1"/>
        <rFont val="Times New Roman"/>
        <family val="1"/>
      </rPr>
      <t>)  Calculate the profit or loss recognized through the CSM every year using each of the following approaches:</t>
    </r>
  </si>
  <si>
    <t xml:space="preserve">(i) Simple sum of contractual coverages </t>
  </si>
  <si>
    <t>(ii) Notional CSM</t>
  </si>
  <si>
    <t>QUESTION 7 (b)</t>
  </si>
  <si>
    <t>Responses for parts (a), (b) (ii) are to be provided in the Word document.</t>
  </si>
  <si>
    <t>Response for part (b) (i) is to be provided in this tab.</t>
  </si>
  <si>
    <r>
      <t>(b)</t>
    </r>
    <r>
      <rPr>
        <sz val="7"/>
        <color theme="1"/>
        <rFont val="Times New Roman"/>
        <family val="1"/>
      </rPr>
      <t> </t>
    </r>
    <r>
      <rPr>
        <sz val="12"/>
        <color theme="1"/>
        <rFont val="Times New Roman"/>
        <family val="1"/>
      </rPr>
      <t xml:space="preserve">BMS Life issues a new universal life insurance product with an 80% confidence level that the premium less a profit charge will cover the benefit payments. </t>
    </r>
  </si>
  <si>
    <t xml:space="preserve">     Benefit payments are assumed to be normally distributed.  At issue, you have the following:</t>
  </si>
  <si>
    <t>PV Fulfilment Cash Flows</t>
  </si>
  <si>
    <t>Premium Margin</t>
  </si>
  <si>
    <t>Variance of benefit payments</t>
  </si>
  <si>
    <t>You are given the following Standard Normal Cumulative Probability Table.</t>
  </si>
  <si>
    <t>z</t>
  </si>
  <si>
    <r>
      <t>P(Z</t>
    </r>
    <r>
      <rPr>
        <b/>
        <sz val="12"/>
        <color theme="1"/>
        <rFont val="Calibri"/>
        <family val="2"/>
        <scheme val="minor"/>
      </rPr>
      <t>≤</t>
    </r>
    <r>
      <rPr>
        <b/>
        <sz val="12"/>
        <color theme="1"/>
        <rFont val="Times New Roman"/>
        <family val="1"/>
      </rPr>
      <t>z)</t>
    </r>
  </si>
  <si>
    <r>
      <t>(i)</t>
    </r>
    <r>
      <rPr>
        <sz val="7"/>
        <color theme="1"/>
        <rFont val="Times New Roman"/>
        <family val="1"/>
      </rPr>
      <t>   </t>
    </r>
    <r>
      <rPr>
        <sz val="12"/>
        <color theme="1"/>
        <rFont val="Times New Roman"/>
        <family val="1"/>
      </rPr>
      <t>(</t>
    </r>
    <r>
      <rPr>
        <i/>
        <sz val="12"/>
        <color theme="1"/>
        <rFont val="Times New Roman"/>
        <family val="1"/>
      </rPr>
      <t>2.5 points</t>
    </r>
    <r>
      <rPr>
        <sz val="12"/>
        <color theme="1"/>
        <rFont val="Times New Roman"/>
        <family val="1"/>
      </rPr>
      <t>) Calculate the best estimate benefit claim cost at issue.  Show all work.</t>
    </r>
  </si>
  <si>
    <r>
      <t>c)</t>
    </r>
    <r>
      <rPr>
        <sz val="7"/>
        <color theme="1"/>
        <rFont val="Times New Roman"/>
        <family val="1"/>
      </rPr>
      <t xml:space="preserve">     </t>
    </r>
    <r>
      <rPr>
        <sz val="12"/>
        <color theme="1"/>
        <rFont val="Times New Roman"/>
        <family val="1"/>
      </rPr>
      <t>A 3-year term-life contract will be issued on January 1</t>
    </r>
    <r>
      <rPr>
        <vertAlign val="superscript"/>
        <sz val="12"/>
        <color theme="1"/>
        <rFont val="Times New Roman"/>
        <family val="1"/>
      </rPr>
      <t>st</t>
    </r>
    <r>
      <rPr>
        <sz val="12"/>
        <color theme="1"/>
        <rFont val="Times New Roman"/>
        <family val="1"/>
      </rPr>
      <t>, 2023. The following expected cash flows are provided:</t>
    </r>
  </si>
  <si>
    <t>Premium (Beginning of year)</t>
  </si>
  <si>
    <t>Claims (End of year)</t>
  </si>
  <si>
    <t>The discount rate is 3%.</t>
  </si>
  <si>
    <r>
      <t>(i) (</t>
    </r>
    <r>
      <rPr>
        <i/>
        <sz val="12"/>
        <color theme="1"/>
        <rFont val="Times New Roman"/>
        <family val="1"/>
      </rPr>
      <t>2 points</t>
    </r>
    <r>
      <rPr>
        <sz val="12"/>
        <color theme="1"/>
        <rFont val="Times New Roman"/>
        <family val="1"/>
      </rPr>
      <t xml:space="preserve">) Calculate the contractual service margin or loss component at issue. Show all work. </t>
    </r>
  </si>
  <si>
    <r>
      <t>(ii) (</t>
    </r>
    <r>
      <rPr>
        <i/>
        <sz val="12"/>
        <color theme="1"/>
        <rFont val="Times New Roman"/>
        <family val="1"/>
      </rPr>
      <t>4 points</t>
    </r>
    <r>
      <rPr>
        <sz val="12"/>
        <color theme="1"/>
        <rFont val="Times New Roman"/>
        <family val="1"/>
      </rPr>
      <t>) The actual experience in year 1 of the policy turns out better than expected, and the company implements an assumption change.</t>
    </r>
  </si>
  <si>
    <t xml:space="preserve">                      You are given the following new information for this policy as at the end of year 1: </t>
  </si>
  <si>
    <t xml:space="preserve">Year </t>
  </si>
  <si>
    <t>Actual</t>
  </si>
  <si>
    <t>Expected</t>
  </si>
  <si>
    <t>Rollforward the contractual service margin or loss component from beginning of year 1 to the end of year 1.  Show all work.</t>
  </si>
  <si>
    <r>
      <t>(iii) (</t>
    </r>
    <r>
      <rPr>
        <i/>
        <sz val="12"/>
        <color theme="1"/>
        <rFont val="Times New Roman"/>
        <family val="1"/>
      </rPr>
      <t>2 points</t>
    </r>
    <r>
      <rPr>
        <sz val="12"/>
        <color theme="1"/>
        <rFont val="Times New Roman"/>
        <family val="1"/>
      </rPr>
      <t xml:space="preserve">)  Determine the Year 1 Statement of Profit and Loss in the format below for this contract based on the information you calculated.  </t>
    </r>
  </si>
  <si>
    <t xml:space="preserve">Assume the insurance service result and insurance finance expense for risk adjustment are not disaggregated.  Assume all assets backing this contract are in cash. Show all work. </t>
  </si>
  <si>
    <t>Statement of Profit and Loss</t>
  </si>
  <si>
    <t>Insurance Revenue</t>
  </si>
  <si>
    <t>Insurance Service Expense</t>
  </si>
  <si>
    <t>Total Insurance Service Result</t>
  </si>
  <si>
    <t>Total Insurance Finance Expense</t>
  </si>
  <si>
    <t>Total Net Income before tax</t>
  </si>
  <si>
    <t>QUESTION 9 (a)</t>
  </si>
  <si>
    <t>Responses for parts (b) are to be provided in the Word document.</t>
  </si>
  <si>
    <t>Response for part (a) are to be provided in this tab.</t>
  </si>
  <si>
    <r>
      <t>(a)</t>
    </r>
    <r>
      <rPr>
        <sz val="7"/>
        <color theme="1"/>
        <rFont val="Times New Roman"/>
        <family val="1"/>
      </rPr>
      <t xml:space="preserve">   </t>
    </r>
    <r>
      <rPr>
        <sz val="12"/>
        <color theme="1"/>
        <rFont val="Times New Roman"/>
        <family val="1"/>
      </rPr>
      <t xml:space="preserve">(3 points) You are given the following for a UL policy issued on January 1, 2016 by a Canadian insurance company and surrendered on December 31, 2017:  </t>
    </r>
  </si>
  <si>
    <t>Investment Income</t>
  </si>
  <si>
    <t>Cost of Insurance</t>
  </si>
  <si>
    <t>Surrender Charge (% of Fund Value)</t>
  </si>
  <si>
    <t>Net Cost of Pure Insurance</t>
  </si>
  <si>
    <t>Determine the amount of taxable income attributable to the policyowner upon surrender.  Show all work.</t>
  </si>
  <si>
    <t>QUESTION 10 (c)</t>
  </si>
  <si>
    <t>Response for part (c)  are to be provided in this tab.</t>
  </si>
  <si>
    <r>
      <rPr>
        <i/>
        <sz val="12"/>
        <color theme="1"/>
        <rFont val="Times New Roman"/>
        <family val="1"/>
      </rPr>
      <t>(c ) (4 points</t>
    </r>
    <r>
      <rPr>
        <sz val="12"/>
        <color theme="1"/>
        <rFont val="Times New Roman"/>
        <family val="1"/>
      </rPr>
      <t>)  For a life insurance contract issued January 1, 2023, by a U.S. insurer, you are provided the following information:</t>
    </r>
  </si>
  <si>
    <r>
      <t>·</t>
    </r>
    <r>
      <rPr>
        <sz val="7"/>
        <color theme="1"/>
        <rFont val="Times New Roman"/>
        <family val="1"/>
      </rPr>
      <t xml:space="preserve">       </t>
    </r>
    <r>
      <rPr>
        <sz val="12"/>
        <color theme="1"/>
        <rFont val="Times New Roman"/>
        <family val="1"/>
      </rPr>
      <t>ASU 2018-12 applies to this contract.</t>
    </r>
  </si>
  <si>
    <r>
      <t>·</t>
    </r>
    <r>
      <rPr>
        <sz val="7"/>
        <color theme="1"/>
        <rFont val="Times New Roman"/>
        <family val="1"/>
      </rPr>
      <t xml:space="preserve">       </t>
    </r>
    <r>
      <rPr>
        <sz val="12"/>
        <color theme="1"/>
        <rFont val="Times New Roman"/>
        <family val="1"/>
      </rPr>
      <t>There are no expenses.</t>
    </r>
  </si>
  <si>
    <r>
      <t>·</t>
    </r>
    <r>
      <rPr>
        <sz val="7"/>
        <color theme="1"/>
        <rFont val="Times New Roman"/>
        <family val="1"/>
      </rPr>
      <t xml:space="preserve">       </t>
    </r>
    <r>
      <rPr>
        <sz val="12"/>
        <color theme="1"/>
        <rFont val="Times New Roman"/>
        <family val="1"/>
      </rPr>
      <t>The locked-in original contract issuance discount rate is 3%.</t>
    </r>
  </si>
  <si>
    <r>
      <t>·</t>
    </r>
    <r>
      <rPr>
        <sz val="7"/>
        <color theme="1"/>
        <rFont val="Times New Roman"/>
        <family val="1"/>
      </rPr>
      <t xml:space="preserve">       </t>
    </r>
    <r>
      <rPr>
        <sz val="12"/>
        <color theme="1"/>
        <rFont val="Times New Roman"/>
        <family val="1"/>
      </rPr>
      <t>At the end of year 2:</t>
    </r>
  </si>
  <si>
    <r>
      <t xml:space="preserve">  o</t>
    </r>
    <r>
      <rPr>
        <sz val="7"/>
        <color theme="1"/>
        <rFont val="Times New Roman"/>
        <family val="1"/>
      </rPr>
      <t xml:space="preserve">   </t>
    </r>
    <r>
      <rPr>
        <sz val="12"/>
        <color theme="1"/>
        <rFont val="Times New Roman"/>
        <family val="1"/>
      </rPr>
      <t>Actual benefits paid and premiums received did not match initial expectations.  An experience study resulted in revised projected cash flows for the remainder of the contract.</t>
    </r>
  </si>
  <si>
    <r>
      <t xml:space="preserve">  o</t>
    </r>
    <r>
      <rPr>
        <sz val="7"/>
        <color theme="1"/>
        <rFont val="Times New Roman"/>
        <family val="1"/>
      </rPr>
      <t xml:space="preserve">   </t>
    </r>
    <r>
      <rPr>
        <sz val="12"/>
        <color theme="1"/>
        <rFont val="Times New Roman"/>
        <family val="1"/>
      </rPr>
      <t>The revised discount rate is 3.5%.</t>
    </r>
  </si>
  <si>
    <t>This table represents the present value of future cashflows using original projected cash flows under original assumptions, as determined on January 1, 2023:</t>
  </si>
  <si>
    <t>PV using discount rate of 3%</t>
  </si>
  <si>
    <t>PV using discount rate of 3.5%</t>
  </si>
  <si>
    <t>Time</t>
  </si>
  <si>
    <t>At Issue</t>
  </si>
  <si>
    <t>Start of Year 2</t>
  </si>
  <si>
    <t>Start of Year 3</t>
  </si>
  <si>
    <t xml:space="preserve">This table represents the present value of future cashflows using the actual cashflows in the first two years followed by revised projected cash flows in other years, </t>
  </si>
  <si>
    <t>as determined at end of day, December 31, 2024.</t>
  </si>
  <si>
    <t>Calculate the liability remeasurement loss which would be recorded in the year-end 2024 accounting entries.  Show all work.</t>
  </si>
  <si>
    <t>QUESTION 4 (a)(ii), (c)</t>
  </si>
  <si>
    <t>Responses for parts (a)(i) and (b) are to be provided in the Word document.</t>
  </si>
  <si>
    <t>Responses for part (a)(ii) and (c) are to be provided in this tab.</t>
  </si>
  <si>
    <t>Suica Life is a Canadian insurance company with a large block of inforce whole life policies, which is still open to new business.</t>
  </si>
  <si>
    <t>Suica Life is currently invested entirely in fixed income assets for this product.</t>
  </si>
  <si>
    <t>You are provided the following information as of the banalce sheet date:</t>
  </si>
  <si>
    <t>Ultimate reinvestment rates prescribed by the Actuarial Standards Board:</t>
  </si>
  <si>
    <t>URR</t>
  </si>
  <si>
    <t>short term</t>
  </si>
  <si>
    <t>long term</t>
  </si>
  <si>
    <t>low</t>
  </si>
  <si>
    <t>median</t>
  </si>
  <si>
    <t>high</t>
  </si>
  <si>
    <t>Canadian Risk Free Yield Curve</t>
  </si>
  <si>
    <t>1-yr</t>
  </si>
  <si>
    <t>2-yr</t>
  </si>
  <si>
    <t>3-yr</t>
  </si>
  <si>
    <t>5-yr</t>
  </si>
  <si>
    <t>7-yr</t>
  </si>
  <si>
    <t>10-yr</t>
  </si>
  <si>
    <t>20-yr</t>
  </si>
  <si>
    <t>30-yr</t>
  </si>
  <si>
    <t>(a) (ii)</t>
  </si>
  <si>
    <t>You have been asked to construct CALM Prescribed Scenario 2 for the 1-year and 20-year durations.</t>
  </si>
  <si>
    <t>Determine the values for these specific durations:</t>
  </si>
  <si>
    <t>1-year</t>
  </si>
  <si>
    <t>20-year</t>
  </si>
  <si>
    <t>(c) (3 points) The valuation cash flows for a block of business are as follows:</t>
  </si>
  <si>
    <t>Years 1- 10:</t>
  </si>
  <si>
    <t>Years 11-20:</t>
  </si>
  <si>
    <t>Years 21-25:</t>
  </si>
  <si>
    <t>Years 26-30:</t>
  </si>
  <si>
    <t>Years 31+:</t>
  </si>
  <si>
    <t>The block is being matched by NFI assets. You are given the following information:</t>
  </si>
  <si>
    <r>
      <t>·</t>
    </r>
    <r>
      <rPr>
        <sz val="7"/>
        <rFont val="Times New Roman"/>
        <family val="1"/>
      </rPr>
      <t xml:space="preserve">         </t>
    </r>
    <r>
      <rPr>
        <sz val="12"/>
        <rFont val="Times New Roman"/>
        <family val="1"/>
      </rPr>
      <t>These investments are well-diversified and held entirely in Canada.</t>
    </r>
  </si>
  <si>
    <r>
      <t>·</t>
    </r>
    <r>
      <rPr>
        <sz val="7"/>
        <rFont val="Times New Roman"/>
        <family val="1"/>
      </rPr>
      <t xml:space="preserve">         </t>
    </r>
    <r>
      <rPr>
        <sz val="12"/>
        <rFont val="Times New Roman"/>
        <family val="1"/>
      </rPr>
      <t xml:space="preserve">The NFI holdings are greatest at time 5. </t>
    </r>
  </si>
  <si>
    <r>
      <t>·</t>
    </r>
    <r>
      <rPr>
        <sz val="7"/>
        <rFont val="Times New Roman"/>
        <family val="1"/>
      </rPr>
      <t xml:space="preserve">         </t>
    </r>
    <r>
      <rPr>
        <sz val="12"/>
        <rFont val="Times New Roman"/>
        <family val="1"/>
      </rPr>
      <t>The valuation returns are to be determined using the following assumptions:</t>
    </r>
  </si>
  <si>
    <t>Best Estimate</t>
  </si>
  <si>
    <t>Margin (as a % of best estimate)</t>
  </si>
  <si>
    <t>Growth Rate:</t>
  </si>
  <si>
    <t>Income assumptions:</t>
  </si>
  <si>
    <t>Investment expenses:</t>
  </si>
  <si>
    <t>Calculate the maximum NFI holdings allowed in the valuation at time 5.</t>
  </si>
  <si>
    <t>QUESTION 5</t>
  </si>
  <si>
    <t>Responses for Question 5 are to be provided in this tab.</t>
  </si>
  <si>
    <t>You are given the following information for a Canadian life insurance company for 2019 (in millions):</t>
  </si>
  <si>
    <t>Income Item</t>
  </si>
  <si>
    <t>Direct Written Premium</t>
  </si>
  <si>
    <t>Premium Ceded</t>
  </si>
  <si>
    <t>Premium Assumed</t>
  </si>
  <si>
    <t>Foreign Insurance Premium</t>
  </si>
  <si>
    <t>Refunded Premiums</t>
  </si>
  <si>
    <t>Cash Value of Policy Dividends – Cash</t>
  </si>
  <si>
    <t>Cash Value of Policy Dividends – Paid-up Additions</t>
  </si>
  <si>
    <t>Loan Repayment</t>
  </si>
  <si>
    <t>Loan Interest Repayment</t>
  </si>
  <si>
    <t>Balance Sheet Item</t>
  </si>
  <si>
    <t>Tax Basis</t>
  </si>
  <si>
    <t>Statutory Basis</t>
  </si>
  <si>
    <t>Beginning of Year Reserves – Direct Written</t>
  </si>
  <si>
    <t>End of Year Reserves – Direct Written</t>
  </si>
  <si>
    <t>Maximum Taxable Actuarial Reserve (MTAR)</t>
  </si>
  <si>
    <t>Mean MTAR - Reinsurance Assumed</t>
  </si>
  <si>
    <t>Mean MTAR - Reinsurance Ceded</t>
  </si>
  <si>
    <t>Taxable income attributable to policyholders</t>
  </si>
  <si>
    <t>Premium Tax Rate</t>
  </si>
  <si>
    <t>Yield on Investments</t>
  </si>
  <si>
    <t>IIT rate</t>
  </si>
  <si>
    <t>Corporate tax rate</t>
  </si>
  <si>
    <t>Calculate the following:</t>
  </si>
  <si>
    <t>                        i.         (1 point)</t>
  </si>
  <si>
    <t>Premium tax payable.</t>
  </si>
  <si>
    <t>                      ii.         (2 points)</t>
  </si>
  <si>
    <t xml:space="preserve">Investment income tax (IIT) payable. </t>
  </si>
  <si>
    <t>                     iii.         (4 points)</t>
  </si>
  <si>
    <t xml:space="preserve">Net after-tax statutory income.  </t>
  </si>
  <si>
    <t>Show all work.</t>
  </si>
  <si>
    <t>QUESTION 10 (b)(ii), (e)</t>
  </si>
  <si>
    <t>Responses for parts (a), (b)(i), (c) and (d) are to be provided in the Word document.</t>
  </si>
  <si>
    <t>Responses for part (b)(ii) and (e) are to be provided in this tab.</t>
  </si>
  <si>
    <t xml:space="preserve">LHW Insurance is a Canadian-based company subject to the LICAT framework. The Company writes Universal Life (UL) business. You are an actuarial student being asked to help prepare the LICAT return. </t>
  </si>
  <si>
    <r>
      <t>(b)</t>
    </r>
    <r>
      <rPr>
        <sz val="7"/>
        <rFont val="Times New Roman"/>
        <family val="1"/>
      </rPr>
      <t xml:space="preserve">   </t>
    </r>
    <r>
      <rPr>
        <sz val="12"/>
        <rFont val="Times New Roman"/>
        <family val="1"/>
      </rPr>
      <t>You have split the UL block into two portfolios and calculated the following required capital components for mortality risk:</t>
    </r>
  </si>
  <si>
    <t>Designation</t>
  </si>
  <si>
    <t>Level</t>
  </si>
  <si>
    <t>Trend</t>
  </si>
  <si>
    <t>Volatility</t>
  </si>
  <si>
    <t>Catastrophe</t>
  </si>
  <si>
    <t>Portfolio A</t>
  </si>
  <si>
    <t>Life-supported</t>
  </si>
  <si>
    <t>Portfolio B</t>
  </si>
  <si>
    <t>Death-supported</t>
  </si>
  <si>
    <t>Total UL</t>
  </si>
  <si>
    <r>
      <t xml:space="preserve">             </t>
    </r>
    <r>
      <rPr>
        <sz val="12"/>
        <rFont val="Times New Roman"/>
        <family val="1"/>
      </rPr>
      <t>ii.</t>
    </r>
    <r>
      <rPr>
        <sz val="7"/>
        <rFont val="Times New Roman"/>
        <family val="1"/>
      </rPr>
      <t xml:space="preserve">         </t>
    </r>
    <r>
      <rPr>
        <sz val="12"/>
        <rFont val="Times New Roman"/>
        <family val="1"/>
      </rPr>
      <t xml:space="preserve">Calculate the required mortality risk capital for the total UL block using the information in the table above. </t>
    </r>
  </si>
  <si>
    <r>
      <t>(e)</t>
    </r>
    <r>
      <rPr>
        <sz val="7"/>
        <rFont val="Times New Roman"/>
        <family val="1"/>
      </rPr>
      <t xml:space="preserve">   </t>
    </r>
    <r>
      <rPr>
        <sz val="12"/>
        <rFont val="Times New Roman"/>
        <family val="1"/>
      </rPr>
      <t>(3 points) You have the following information for an index-linked UL policy:</t>
    </r>
  </si>
  <si>
    <t>Q3 2020</t>
  </si>
  <si>
    <t>Q4 2020</t>
  </si>
  <si>
    <t>Q1 2021</t>
  </si>
  <si>
    <t>Q2 2021</t>
  </si>
  <si>
    <t>Q3 2021</t>
  </si>
  <si>
    <t>Asset Value (millions)</t>
  </si>
  <si>
    <t>Historical Correlation between returns credited to policyholder funds and returns on asset for past 52 weeks</t>
  </si>
  <si>
    <t>standard deviation of return on assets for past 52 weeks</t>
  </si>
  <si>
    <t>standard deviation of return on policyholder funds for past 52 weeks</t>
  </si>
  <si>
    <t>Calculate the required capital for market risk for this product for Q3 2021.</t>
  </si>
  <si>
    <t>QUESTION 1 (a) and (c)</t>
  </si>
  <si>
    <t>Responses for parts (b) and (d) are to be provided in the Word document.</t>
  </si>
  <si>
    <t>Responses for part (a) and (c) are to be provided in this tab.</t>
  </si>
  <si>
    <t xml:space="preserve">You are given the following: </t>
  </si>
  <si>
    <t>Values in the period:</t>
  </si>
  <si>
    <t xml:space="preserve">GAAP Basis </t>
  </si>
  <si>
    <t xml:space="preserve">Actual Results </t>
  </si>
  <si>
    <t>Beginning of Period Reserve per policy</t>
  </si>
  <si>
    <t>Gross Premium per policy</t>
  </si>
  <si>
    <t>Net Premium per policy</t>
  </si>
  <si>
    <t>Mortality Rate</t>
  </si>
  <si>
    <t>Investment Interest Rate on Reserves</t>
  </si>
  <si>
    <t>Lapse Rate</t>
  </si>
  <si>
    <t>Maintenance Expense per Policy</t>
  </si>
  <si>
    <r>
      <t>·</t>
    </r>
    <r>
      <rPr>
        <sz val="7"/>
        <color theme="1"/>
        <rFont val="Times New Roman"/>
        <family val="1"/>
      </rPr>
      <t xml:space="preserve">       </t>
    </r>
    <r>
      <rPr>
        <sz val="12"/>
        <color theme="1"/>
        <rFont val="Times New Roman"/>
        <family val="1"/>
      </rPr>
      <t>Beginning of Period Policies in Force:  5,000</t>
    </r>
  </si>
  <si>
    <r>
      <t>·</t>
    </r>
    <r>
      <rPr>
        <sz val="7"/>
        <color theme="1"/>
        <rFont val="Times New Roman"/>
        <family val="1"/>
      </rPr>
      <t xml:space="preserve">       </t>
    </r>
    <r>
      <rPr>
        <sz val="12"/>
        <color theme="1"/>
        <rFont val="Times New Roman"/>
        <family val="1"/>
      </rPr>
      <t>Policy Death Benefit per policy:  100,000</t>
    </r>
  </si>
  <si>
    <r>
      <t>·</t>
    </r>
    <r>
      <rPr>
        <sz val="7"/>
        <color theme="1"/>
        <rFont val="Times New Roman"/>
        <family val="1"/>
      </rPr>
      <t xml:space="preserve">       </t>
    </r>
    <r>
      <rPr>
        <sz val="12"/>
        <color theme="1"/>
        <rFont val="Times New Roman"/>
        <family val="1"/>
      </rPr>
      <t>All premium is collected at the beginning of period.</t>
    </r>
  </si>
  <si>
    <r>
      <t>·</t>
    </r>
    <r>
      <rPr>
        <sz val="7"/>
        <color theme="1"/>
        <rFont val="Times New Roman"/>
        <family val="1"/>
      </rPr>
      <t xml:space="preserve">       </t>
    </r>
    <r>
      <rPr>
        <sz val="12"/>
        <color theme="1"/>
        <rFont val="Times New Roman"/>
        <family val="1"/>
      </rPr>
      <t>All deaths and lapses occur at end of period.</t>
    </r>
  </si>
  <si>
    <r>
      <t>·</t>
    </r>
    <r>
      <rPr>
        <sz val="7"/>
        <color theme="1"/>
        <rFont val="Times New Roman"/>
        <family val="1"/>
      </rPr>
      <t xml:space="preserve">       </t>
    </r>
    <r>
      <rPr>
        <sz val="12"/>
        <color theme="1"/>
        <rFont val="Times New Roman"/>
        <family val="1"/>
      </rPr>
      <t>There are no surrender benefits.</t>
    </r>
  </si>
  <si>
    <r>
      <t>·</t>
    </r>
    <r>
      <rPr>
        <sz val="7"/>
        <color theme="1"/>
        <rFont val="Times New Roman"/>
        <family val="1"/>
      </rPr>
      <t xml:space="preserve">       </t>
    </r>
    <r>
      <rPr>
        <sz val="12"/>
        <color theme="1"/>
        <rFont val="Times New Roman"/>
        <family val="1"/>
      </rPr>
      <t>Expenses are paid at the beginning of the period for policies in-force at the beginning of period.</t>
    </r>
  </si>
  <si>
    <r>
      <t>(a)</t>
    </r>
    <r>
      <rPr>
        <sz val="7"/>
        <color theme="1"/>
        <rFont val="Times New Roman"/>
        <family val="1"/>
      </rPr>
      <t>  </t>
    </r>
    <r>
      <rPr>
        <sz val="12"/>
        <color theme="1"/>
        <rFont val="Times New Roman"/>
        <family val="1"/>
      </rPr>
      <t>(</t>
    </r>
    <r>
      <rPr>
        <i/>
        <sz val="12"/>
        <color theme="1"/>
        <rFont val="Times New Roman"/>
        <family val="1"/>
      </rPr>
      <t>2 points</t>
    </r>
    <r>
      <rPr>
        <sz val="12"/>
        <color theme="1"/>
        <rFont val="Times New Roman"/>
        <family val="1"/>
      </rPr>
      <t>)  Construct an Analysis in Change in Reserves for the GAAP expectation and actual results.</t>
    </r>
  </si>
  <si>
    <r>
      <t>(c)  (</t>
    </r>
    <r>
      <rPr>
        <i/>
        <sz val="12"/>
        <color theme="1"/>
        <rFont val="Times New Roman"/>
        <family val="1"/>
      </rPr>
      <t>4 points</t>
    </r>
    <r>
      <rPr>
        <sz val="12"/>
        <color theme="1"/>
        <rFont val="Times New Roman"/>
        <family val="1"/>
      </rPr>
      <t>)  Construct a Source of Earnings analysis for the GAAP expectation and actual results.</t>
    </r>
  </si>
  <si>
    <t>QUESTION 3(b)</t>
  </si>
  <si>
    <t>Responses for parts (b) are to be provided in this tab.</t>
  </si>
  <si>
    <r>
      <t>b)</t>
    </r>
    <r>
      <rPr>
        <sz val="7"/>
        <color theme="1"/>
        <rFont val="Times New Roman"/>
        <family val="1"/>
      </rPr>
      <t xml:space="preserve">      </t>
    </r>
    <r>
      <rPr>
        <sz val="12"/>
        <color theme="1"/>
        <rFont val="Times New Roman"/>
        <family val="1"/>
      </rPr>
      <t xml:space="preserve">(5 points) </t>
    </r>
    <r>
      <rPr>
        <sz val="11"/>
        <color theme="1"/>
        <rFont val="Times New Roman"/>
        <family val="1"/>
      </rPr>
      <t>You have a liability of 1,000 denominated in CAD and payable at the end of 10 years. The assets backing this liability are denominated in US dollars (USD) and the currency risk is not hedged.</t>
    </r>
  </si>
  <si>
    <t>You are given the following information at the valuation date:</t>
  </si>
  <si>
    <r>
      <t>·</t>
    </r>
    <r>
      <rPr>
        <sz val="7"/>
        <color theme="1"/>
        <rFont val="Times New Roman"/>
        <family val="1"/>
      </rPr>
      <t xml:space="preserve">         </t>
    </r>
    <r>
      <rPr>
        <sz val="11.5"/>
        <color theme="1"/>
        <rFont val="Times New Roman"/>
        <family val="1"/>
      </rPr>
      <t xml:space="preserve">Exchange Rate: 1.00 USD buys 1.25 CAD </t>
    </r>
  </si>
  <si>
    <r>
      <t>·</t>
    </r>
    <r>
      <rPr>
        <sz val="7"/>
        <color theme="1"/>
        <rFont val="Times New Roman"/>
        <family val="1"/>
      </rPr>
      <t xml:space="preserve">         </t>
    </r>
    <r>
      <rPr>
        <sz val="11.5"/>
        <color theme="1"/>
        <rFont val="Times New Roman"/>
        <family val="1"/>
      </rPr>
      <t xml:space="preserve">U.S. 10-year risk-free rate: 3.00% </t>
    </r>
  </si>
  <si>
    <r>
      <t>·</t>
    </r>
    <r>
      <rPr>
        <sz val="7"/>
        <color theme="1"/>
        <rFont val="Times New Roman"/>
        <family val="1"/>
      </rPr>
      <t xml:space="preserve">         </t>
    </r>
    <r>
      <rPr>
        <sz val="11.5"/>
        <color theme="1"/>
        <rFont val="Times New Roman"/>
        <family val="1"/>
      </rPr>
      <t xml:space="preserve">Canadian 10-year risk-free rate: 2.75% </t>
    </r>
  </si>
  <si>
    <r>
      <t>·</t>
    </r>
    <r>
      <rPr>
        <sz val="7"/>
        <color theme="1"/>
        <rFont val="Times New Roman"/>
        <family val="1"/>
      </rPr>
      <t xml:space="preserve">         </t>
    </r>
    <r>
      <rPr>
        <sz val="12"/>
        <color theme="1"/>
        <rFont val="Times New Roman"/>
        <family val="1"/>
      </rPr>
      <t>The 10-year one std deviation of the foreign exchange rate is 0.15</t>
    </r>
  </si>
  <si>
    <r>
      <t>·</t>
    </r>
    <r>
      <rPr>
        <sz val="7"/>
        <color theme="1"/>
        <rFont val="Times New Roman"/>
        <family val="1"/>
      </rPr>
      <t xml:space="preserve">         </t>
    </r>
    <r>
      <rPr>
        <sz val="12"/>
        <color theme="1"/>
        <rFont val="Times New Roman"/>
        <family val="1"/>
      </rPr>
      <t>The minimum margin for adverse deviation for currency risk is 5%</t>
    </r>
  </si>
  <si>
    <r>
      <t>i)</t>
    </r>
    <r>
      <rPr>
        <sz val="7"/>
        <color theme="1"/>
        <rFont val="Times New Roman"/>
        <family val="1"/>
      </rPr>
      <t xml:space="preserve">                    </t>
    </r>
    <r>
      <rPr>
        <sz val="12"/>
        <color theme="1"/>
        <rFont val="Times New Roman"/>
        <family val="1"/>
      </rPr>
      <t xml:space="preserve">(4 points) </t>
    </r>
    <r>
      <rPr>
        <sz val="11"/>
        <color theme="1"/>
        <rFont val="Times New Roman"/>
        <family val="1"/>
      </rPr>
      <t>Calculate the best estimate liability and the provision for adverse deviations for the currency risk in CAD at the valuation date.  Show all work.</t>
    </r>
  </si>
  <si>
    <t>ii)            (1 point) Assume that you have entered into a forward contract which fixes the exchange rate for 1.00 USD at 1.20 CAD at the end of the 10 years. Assume that all other information provided above remains unchanged.</t>
  </si>
  <si>
    <t>Recalculate the total liability including PfADs under this assumption.</t>
  </si>
  <si>
    <t>QUESTION 5(c)</t>
  </si>
  <si>
    <t>Responses for parts (c ) are to be provided in this tab.</t>
  </si>
  <si>
    <t>c) (2 points) You are given:</t>
  </si>
  <si>
    <t>Mortality Rates</t>
  </si>
  <si>
    <t>AGE</t>
  </si>
  <si>
    <t>Male</t>
  </si>
  <si>
    <t>Prescribed Mortality Improvement Rates</t>
  </si>
  <si>
    <t>Age</t>
  </si>
  <si>
    <t>Assume</t>
  </si>
  <si>
    <t>·         Valuation date is Dec 31, 2020</t>
  </si>
  <si>
    <t>·         Mortality MfAD is 6.5%</t>
  </si>
  <si>
    <t>·         Mortality Improvement MfAD rate for ages 60 to 90 is 0.5%</t>
  </si>
  <si>
    <t xml:space="preserve">(c ) ( 2 points) Calculate the projected valuation mortality rate for an annuity product of a 65 year old male in 2 years if the diversification factor is 25%. Show all work. </t>
  </si>
  <si>
    <t>Responses for parts (a) and (c) are to be provided in the Word document.</t>
  </si>
  <si>
    <t xml:space="preserve">Company BCS sells a Universal Life (UL) product: </t>
  </si>
  <si>
    <t xml:space="preserve">·         The death benefit is level 50,000 plus the account value balance. </t>
  </si>
  <si>
    <t>·         At the end of 5 years, the account value is paid out if the policyholder is still alive and the policy terminates.</t>
  </si>
  <si>
    <t>The reserves for the policy are calculated under IFRS 17</t>
  </si>
  <si>
    <t xml:space="preserve">You are given: </t>
  </si>
  <si>
    <t xml:space="preserve">Descriptions </t>
  </si>
  <si>
    <t>Expected Mortality</t>
  </si>
  <si>
    <t>0% for the first 4 years, 10% at the end of year 5</t>
  </si>
  <si>
    <t>Expected Lapse</t>
  </si>
  <si>
    <t>3,000 at the beginning of the year for 5 years</t>
  </si>
  <si>
    <t>Cost of Insurance deducted at the beginning of each year</t>
  </si>
  <si>
    <t>4% of Net Amount at Risk</t>
  </si>
  <si>
    <t>Annual Management Fee deducted at the end of the year</t>
  </si>
  <si>
    <t>1% of account value at the end of the year</t>
  </si>
  <si>
    <t>Credited interest on Account Value</t>
  </si>
  <si>
    <t>Discount Rate</t>
  </si>
  <si>
    <t xml:space="preserve">b)         (5 points) Calculate the Best Estimate Liability at issue using: </t>
  </si>
  <si>
    <t xml:space="preserve">i)        The Whole Contract view </t>
  </si>
  <si>
    <t>ii)      The Core Cash Flows view</t>
  </si>
  <si>
    <t>QUESTION 9(c)</t>
  </si>
  <si>
    <t>Responses for parts (c) are to be provided in this tab.</t>
  </si>
  <si>
    <t xml:space="preserve">You are given the following information for a 10-year Universal Life (UL) product: </t>
  </si>
  <si>
    <r>
      <t>·</t>
    </r>
    <r>
      <rPr>
        <sz val="7"/>
        <color theme="1"/>
        <rFont val="Times New Roman"/>
        <family val="1"/>
      </rPr>
      <t xml:space="preserve">         </t>
    </r>
    <r>
      <rPr>
        <sz val="12"/>
        <color theme="1"/>
        <rFont val="Times New Roman"/>
        <family val="1"/>
      </rPr>
      <t>The death benefit is the face amount plus the account value</t>
    </r>
  </si>
  <si>
    <r>
      <t>·</t>
    </r>
    <r>
      <rPr>
        <sz val="7"/>
        <color theme="1"/>
        <rFont val="Times New Roman"/>
        <family val="1"/>
      </rPr>
      <t xml:space="preserve">         </t>
    </r>
    <r>
      <rPr>
        <sz val="12"/>
        <color theme="1"/>
        <rFont val="Times New Roman"/>
        <family val="1"/>
      </rPr>
      <t>The contract does not qualify as a contract with direct participating features</t>
    </r>
  </si>
  <si>
    <r>
      <t>·</t>
    </r>
    <r>
      <rPr>
        <sz val="7"/>
        <color theme="1"/>
        <rFont val="Times New Roman"/>
        <family val="1"/>
      </rPr>
      <t xml:space="preserve">         </t>
    </r>
    <r>
      <rPr>
        <sz val="12"/>
        <color theme="1"/>
        <rFont val="Times New Roman"/>
        <family val="1"/>
      </rPr>
      <t>Coverage unites are not discounted</t>
    </r>
  </si>
  <si>
    <t>You are given the following assumptions:</t>
  </si>
  <si>
    <t>Assumptions</t>
  </si>
  <si>
    <t>Annual decrement (lapse and death combined, all at year end)</t>
  </si>
  <si>
    <t xml:space="preserve">4% each year </t>
  </si>
  <si>
    <t>Locked-in rate at initial recognition</t>
  </si>
  <si>
    <t>3% flat for all years</t>
  </si>
  <si>
    <t>Face amount</t>
  </si>
  <si>
    <t>Account Value</t>
  </si>
  <si>
    <t>Initial value of 400, expected annual growth rate of 5%</t>
  </si>
  <si>
    <t>CSM at initial recognition</t>
  </si>
  <si>
    <t>c) (5 points) Calculate the Contractual Service Margin balance over the 10-year period</t>
  </si>
  <si>
    <t>QUESTION 11(a) and (c)</t>
  </si>
  <si>
    <t>Responses for parts (b)are to be provided in the Word document.</t>
  </si>
  <si>
    <t>Responses for parts (a) are to be provided in this tab.</t>
  </si>
  <si>
    <t>a) MNG, a Canadian Life Insurance Company, has two major blocks of individual life insurance policies, Business A and Business B.</t>
  </si>
  <si>
    <t xml:space="preserve">Abbreviations: </t>
  </si>
  <si>
    <t>PV: Present Value</t>
  </si>
  <si>
    <t>BE: Best Estimate</t>
  </si>
  <si>
    <t>BEL: Best Estimate Liability</t>
  </si>
  <si>
    <t>CF: Cash Flows</t>
  </si>
  <si>
    <t xml:space="preserve">You are given the following :  </t>
  </si>
  <si>
    <t>Designation of risk</t>
  </si>
  <si>
    <t>Business A</t>
  </si>
  <si>
    <t>Business B</t>
  </si>
  <si>
    <t>Mortality risk</t>
  </si>
  <si>
    <t>Lapse risk</t>
  </si>
  <si>
    <t>Lapse-supported</t>
  </si>
  <si>
    <t>Lapse-sensitive</t>
  </si>
  <si>
    <t>PVs at 5.3% discount rate</t>
  </si>
  <si>
    <t>BE CF</t>
  </si>
  <si>
    <t>Padded CF</t>
  </si>
  <si>
    <t>BEL</t>
  </si>
  <si>
    <t>Shock to  BE mortality rate in all policy years</t>
  </si>
  <si>
    <t xml:space="preserve">Business A </t>
  </si>
  <si>
    <t>+25%</t>
  </si>
  <si>
    <t xml:space="preserve">+19.6% </t>
  </si>
  <si>
    <t>+14.8%</t>
  </si>
  <si>
    <t xml:space="preserve">-25% </t>
  </si>
  <si>
    <t xml:space="preserve">-15% </t>
  </si>
  <si>
    <t>-8.7%</t>
  </si>
  <si>
    <t>0% + 1 additional death per thousand</t>
  </si>
  <si>
    <t>Shock to  BE mortality improvement assumption</t>
  </si>
  <si>
    <t>- 75% for 25 years, followed by -100% (i.e. no mortality improvement) thereafter.</t>
  </si>
  <si>
    <t>+75% at all policy durations.</t>
  </si>
  <si>
    <t>Shock to  BE lapse assumption</t>
  </si>
  <si>
    <t>±30% in all policy years</t>
  </si>
  <si>
    <t>±60% in the first year</t>
  </si>
  <si>
    <t>±30% in the first year</t>
  </si>
  <si>
    <t>-40%in the first year</t>
  </si>
  <si>
    <t>+20% in the first year followed by a permanent +10% in all subsequent policy years</t>
  </si>
  <si>
    <t xml:space="preserve">An absolute addition of 20% to the lapse rate in the first year only </t>
  </si>
  <si>
    <t>Other Values</t>
  </si>
  <si>
    <t>Standard deviation of the upcoming year’s projected net death claims</t>
  </si>
  <si>
    <t>The following year’s net expected claims</t>
  </si>
  <si>
    <t>Total net actuarial liability for all policies</t>
  </si>
  <si>
    <t>Total net face amount for all policies</t>
  </si>
  <si>
    <t xml:space="preserve">i)      (4 points) Calculate the mortality risk solvency buffer for the company, without diversification credit between life-supported and death-supported business. </t>
  </si>
  <si>
    <t>ii)      (2 points) Calculate the diversification credit between life-supported and death-supported business</t>
  </si>
  <si>
    <t>iii)      (2.5 points) For the company:</t>
  </si>
  <si>
    <t>* Calculate the lapse risk solvency buffer, and</t>
  </si>
  <si>
    <t>* Calculate the expense risk solvency buffer</t>
  </si>
  <si>
    <t>(c)</t>
  </si>
  <si>
    <t>You are given the following information for a 10-year Universal Life (UL) product:</t>
  </si>
  <si>
    <t>• The death benefit is the face amount plus the account value
• The contract qualifies as a contract without direct participating features
• Coverage units are not discounted</t>
  </si>
  <si>
    <t>4% each year</t>
  </si>
  <si>
    <t>Account value</t>
  </si>
  <si>
    <t>Initial value of 400, expected growth rate of 5%</t>
  </si>
  <si>
    <t>Calculate the Contractual Service Margin balance over the 10-year period.</t>
  </si>
  <si>
    <t>Commentary on Question</t>
  </si>
  <si>
    <t xml:space="preserve">Candidates generally did well on this part of the question.  Most candidates were able to calculate the CSM run off. Common mistakes including not decrementing properly and not including CSM interest accretion in CSM amortization. </t>
  </si>
  <si>
    <t>AV expected annual growth rate</t>
  </si>
  <si>
    <t>Locked-in rate</t>
  </si>
  <si>
    <t>Annual Decrement</t>
  </si>
  <si>
    <t>t</t>
  </si>
  <si>
    <t>Face Amount</t>
  </si>
  <si>
    <t>AV</t>
  </si>
  <si>
    <t>Death Benefit</t>
  </si>
  <si>
    <t>Discount factor</t>
  </si>
  <si>
    <t>Current Service + Future Service</t>
  </si>
  <si>
    <t>CSM amortization factor</t>
  </si>
  <si>
    <t>Opening CSM</t>
  </si>
  <si>
    <t>CSM interest accretion</t>
  </si>
  <si>
    <t>CSM with interest accretion</t>
  </si>
  <si>
    <t>Insurance Finance Expense</t>
  </si>
  <si>
    <t>CSM amortized</t>
  </si>
  <si>
    <t>Ending CSM</t>
  </si>
  <si>
    <t>Profit realized</t>
  </si>
  <si>
    <t>QUESTION 2 (c) i, ii</t>
  </si>
  <si>
    <t>Responses for part (c)i and (c)ii are to be provided in this tab.</t>
  </si>
  <si>
    <r>
      <t>(c)</t>
    </r>
    <r>
      <rPr>
        <sz val="7"/>
        <color theme="1"/>
        <rFont val="Times New Roman"/>
        <family val="1"/>
      </rPr>
      <t>   </t>
    </r>
    <r>
      <rPr>
        <sz val="12"/>
        <color theme="1"/>
        <rFont val="Times New Roman"/>
        <family val="1"/>
      </rPr>
      <t>(</t>
    </r>
    <r>
      <rPr>
        <i/>
        <sz val="12"/>
        <color theme="1"/>
        <rFont val="Times New Roman"/>
        <family val="1"/>
      </rPr>
      <t>4 points</t>
    </r>
    <r>
      <rPr>
        <sz val="12"/>
        <color theme="1"/>
        <rFont val="Times New Roman"/>
        <family val="1"/>
      </rPr>
      <t xml:space="preserve">)  You are given the following information for a group of insurance contracts: </t>
    </r>
  </si>
  <si>
    <r>
      <t>·</t>
    </r>
    <r>
      <rPr>
        <sz val="7"/>
        <color theme="1"/>
        <rFont val="Times New Roman"/>
        <family val="1"/>
      </rPr>
      <t xml:space="preserve">       </t>
    </r>
    <r>
      <rPr>
        <sz val="12"/>
        <color theme="1"/>
        <rFont val="Times New Roman"/>
        <family val="1"/>
      </rPr>
      <t xml:space="preserve">Contractual Service Margin (CSM) at issue: 1,000 </t>
    </r>
  </si>
  <si>
    <r>
      <t>·</t>
    </r>
    <r>
      <rPr>
        <sz val="7"/>
        <color theme="1"/>
        <rFont val="Times New Roman"/>
        <family val="1"/>
      </rPr>
      <t xml:space="preserve">       </t>
    </r>
    <r>
      <rPr>
        <sz val="12"/>
        <color theme="1"/>
        <rFont val="Times New Roman"/>
        <family val="1"/>
      </rPr>
      <t>The CSM is amortized linearly over a 10-year period</t>
    </r>
  </si>
  <si>
    <r>
      <t>·</t>
    </r>
    <r>
      <rPr>
        <sz val="7"/>
        <color theme="1"/>
        <rFont val="Times New Roman"/>
        <family val="1"/>
      </rPr>
      <t xml:space="preserve">       </t>
    </r>
    <r>
      <rPr>
        <sz val="12"/>
        <color theme="1"/>
        <rFont val="Times New Roman"/>
        <family val="1"/>
      </rPr>
      <t>The locked-in interest rate = 4%</t>
    </r>
  </si>
  <si>
    <r>
      <t>·</t>
    </r>
    <r>
      <rPr>
        <sz val="7"/>
        <color theme="1"/>
        <rFont val="Times New Roman"/>
        <family val="1"/>
      </rPr>
      <t xml:space="preserve">       </t>
    </r>
    <r>
      <rPr>
        <sz val="12"/>
        <color theme="1"/>
        <rFont val="Times New Roman"/>
        <family val="1"/>
      </rPr>
      <t>Current interest rates are the same as the locked-in interest rates</t>
    </r>
  </si>
  <si>
    <r>
      <t>·</t>
    </r>
    <r>
      <rPr>
        <sz val="7"/>
        <color theme="1"/>
        <rFont val="Times New Roman"/>
        <family val="1"/>
      </rPr>
      <t xml:space="preserve">       </t>
    </r>
    <r>
      <rPr>
        <sz val="12"/>
        <color theme="1"/>
        <rFont val="Times New Roman"/>
        <family val="1"/>
      </rPr>
      <t>Basis changes are effective at the end of the year</t>
    </r>
  </si>
  <si>
    <r>
      <t>·</t>
    </r>
    <r>
      <rPr>
        <sz val="7"/>
        <color theme="1"/>
        <rFont val="Times New Roman"/>
        <family val="1"/>
      </rPr>
      <t xml:space="preserve">       </t>
    </r>
    <r>
      <rPr>
        <sz val="12"/>
        <color theme="1"/>
        <rFont val="Times New Roman"/>
        <family val="1"/>
      </rPr>
      <t>For simplicity, the risk adjustment is set to 0</t>
    </r>
  </si>
  <si>
    <t xml:space="preserve">For each of the following outcomes:  </t>
  </si>
  <si>
    <r>
      <t>1)</t>
    </r>
    <r>
      <rPr>
        <sz val="7"/>
        <color theme="1"/>
        <rFont val="Times New Roman"/>
        <family val="1"/>
      </rPr>
      <t xml:space="preserve">    </t>
    </r>
    <r>
      <rPr>
        <sz val="12"/>
        <color theme="1"/>
        <rFont val="Times New Roman"/>
        <family val="1"/>
      </rPr>
      <t xml:space="preserve">Actual death claims during the year are 300 greater than expected death claims </t>
    </r>
  </si>
  <si>
    <r>
      <t>2)</t>
    </r>
    <r>
      <rPr>
        <sz val="7"/>
        <color theme="1"/>
        <rFont val="Times New Roman"/>
        <family val="1"/>
      </rPr>
      <t xml:space="preserve">    </t>
    </r>
    <r>
      <rPr>
        <sz val="12"/>
        <color theme="1"/>
        <rFont val="Times New Roman"/>
        <family val="1"/>
      </rPr>
      <t xml:space="preserve">A favorable mortality basis change of 400  </t>
    </r>
  </si>
  <si>
    <r>
      <t>3)</t>
    </r>
    <r>
      <rPr>
        <sz val="7"/>
        <color theme="1"/>
        <rFont val="Times New Roman"/>
        <family val="1"/>
      </rPr>
      <t xml:space="preserve">    </t>
    </r>
    <r>
      <rPr>
        <sz val="12"/>
        <color theme="1"/>
        <rFont val="Times New Roman"/>
        <family val="1"/>
      </rPr>
      <t xml:space="preserve">An unfavorable mortality basis change of 1,500 </t>
    </r>
  </si>
  <si>
    <r>
      <t>(i)</t>
    </r>
    <r>
      <rPr>
        <sz val="7"/>
        <color theme="1"/>
        <rFont val="Times New Roman"/>
        <family val="1"/>
      </rPr>
      <t xml:space="preserve">      </t>
    </r>
    <r>
      <rPr>
        <sz val="12"/>
        <color theme="1"/>
        <rFont val="Times New Roman"/>
        <family val="1"/>
      </rPr>
      <t>Calculate the impact on profitability at the end of the first year</t>
    </r>
  </si>
  <si>
    <r>
      <t>(ii)</t>
    </r>
    <r>
      <rPr>
        <sz val="7"/>
        <color theme="1"/>
        <rFont val="Times New Roman"/>
        <family val="1"/>
      </rPr>
      <t xml:space="preserve">    </t>
    </r>
    <r>
      <rPr>
        <sz val="12"/>
        <color theme="1"/>
        <rFont val="Times New Roman"/>
        <family val="1"/>
      </rPr>
      <t>Calculate the impact on insurance contract liabilities at the end of the first year</t>
    </r>
  </si>
  <si>
    <t>QUESTION 3 (c) i, ii</t>
  </si>
  <si>
    <r>
      <t>(</t>
    </r>
    <r>
      <rPr>
        <i/>
        <sz val="12"/>
        <color theme="1"/>
        <rFont val="Times New Roman"/>
        <family val="1"/>
      </rPr>
      <t>4 points</t>
    </r>
    <r>
      <rPr>
        <sz val="12"/>
        <color theme="1"/>
        <rFont val="Times New Roman"/>
        <family val="1"/>
      </rPr>
      <t>)  The reserves for a term life insurance product terminating after 10 years are calculated under ASU 2018-12. You are given the following projected cashflows for a cohort of policies:</t>
    </r>
  </si>
  <si>
    <t xml:space="preserve">Benefits </t>
  </si>
  <si>
    <t xml:space="preserve">Gross Premiums </t>
  </si>
  <si>
    <t>At the end of year 4, your company updates its mortality assumption to reflect experience.  You are given the following updated cashflows:</t>
  </si>
  <si>
    <t>Projected</t>
  </si>
  <si>
    <r>
      <t>·</t>
    </r>
    <r>
      <rPr>
        <sz val="7"/>
        <color theme="1"/>
        <rFont val="Times New Roman"/>
        <family val="1"/>
      </rPr>
      <t xml:space="preserve">       </t>
    </r>
    <r>
      <rPr>
        <sz val="12"/>
        <color theme="1"/>
        <rFont val="Times New Roman"/>
        <family val="1"/>
      </rPr>
      <t>Gross premiums are paid the beginning of the year</t>
    </r>
  </si>
  <si>
    <r>
      <t>·</t>
    </r>
    <r>
      <rPr>
        <sz val="7"/>
        <color theme="1"/>
        <rFont val="Times New Roman"/>
        <family val="1"/>
      </rPr>
      <t xml:space="preserve">       </t>
    </r>
    <r>
      <rPr>
        <sz val="12"/>
        <color theme="1"/>
        <rFont val="Times New Roman"/>
        <family val="1"/>
      </rPr>
      <t>Benefits are paid at the end of the year</t>
    </r>
  </si>
  <si>
    <r>
      <t>·</t>
    </r>
    <r>
      <rPr>
        <sz val="7"/>
        <color theme="1"/>
        <rFont val="Times New Roman"/>
        <family val="1"/>
      </rPr>
      <t xml:space="preserve">       </t>
    </r>
    <r>
      <rPr>
        <sz val="12"/>
        <color theme="1"/>
        <rFont val="Times New Roman"/>
        <family val="1"/>
      </rPr>
      <t>The locked discount rate is 4%</t>
    </r>
  </si>
  <si>
    <r>
      <t>·</t>
    </r>
    <r>
      <rPr>
        <sz val="7"/>
        <color theme="1"/>
        <rFont val="Times New Roman"/>
        <family val="1"/>
      </rPr>
      <t xml:space="preserve">       </t>
    </r>
    <r>
      <rPr>
        <sz val="12"/>
        <color theme="1"/>
        <rFont val="Times New Roman"/>
        <family val="1"/>
      </rPr>
      <t>The current rate at the end of year 4 is 3.5% for all future years</t>
    </r>
  </si>
  <si>
    <r>
      <t>(i)</t>
    </r>
    <r>
      <rPr>
        <sz val="7"/>
        <color theme="1"/>
        <rFont val="Times New Roman"/>
        <family val="1"/>
      </rPr>
      <t>       </t>
    </r>
    <r>
      <rPr>
        <sz val="12"/>
        <color theme="1"/>
        <rFont val="Times New Roman"/>
        <family val="1"/>
      </rPr>
      <t xml:space="preserve"> Net Premium in year 1</t>
    </r>
  </si>
  <si>
    <r>
      <t>(ii)</t>
    </r>
    <r>
      <rPr>
        <sz val="7"/>
        <color theme="1"/>
        <rFont val="Times New Roman"/>
        <family val="1"/>
      </rPr>
      <t>  </t>
    </r>
    <r>
      <rPr>
        <sz val="12"/>
        <color theme="1"/>
        <rFont val="Times New Roman"/>
        <family val="1"/>
      </rPr>
      <t xml:space="preserve"> Liability Remeasurement Gain or Loss in year 4.</t>
    </r>
  </si>
  <si>
    <t>QUESTION 4 (c) i, ii</t>
  </si>
  <si>
    <r>
      <t>(</t>
    </r>
    <r>
      <rPr>
        <i/>
        <sz val="12"/>
        <color theme="1"/>
        <rFont val="Times New Roman"/>
        <family val="1"/>
      </rPr>
      <t>6 points</t>
    </r>
    <r>
      <rPr>
        <sz val="12"/>
        <color theme="1"/>
        <rFont val="Times New Roman"/>
        <family val="1"/>
      </rPr>
      <t xml:space="preserve">)  Your company offers a term life insurance product with the following  </t>
    </r>
  </si>
  <si>
    <t xml:space="preserve">features: </t>
  </si>
  <si>
    <r>
      <t>·</t>
    </r>
    <r>
      <rPr>
        <sz val="7"/>
        <color theme="1"/>
        <rFont val="Times New Roman"/>
        <family val="1"/>
      </rPr>
      <t xml:space="preserve">                </t>
    </r>
    <r>
      <rPr>
        <sz val="12"/>
        <color theme="1"/>
        <rFont val="Times New Roman"/>
        <family val="1"/>
      </rPr>
      <t xml:space="preserve">Term of the product (in years): </t>
    </r>
  </si>
  <si>
    <r>
      <t>·</t>
    </r>
    <r>
      <rPr>
        <sz val="7"/>
        <color theme="1"/>
        <rFont val="Times New Roman"/>
        <family val="1"/>
      </rPr>
      <t xml:space="preserve">                </t>
    </r>
    <r>
      <rPr>
        <sz val="12"/>
        <color theme="1"/>
        <rFont val="Times New Roman"/>
        <family val="1"/>
      </rPr>
      <t xml:space="preserve">Face amount = </t>
    </r>
  </si>
  <si>
    <r>
      <t>·</t>
    </r>
    <r>
      <rPr>
        <sz val="7"/>
        <color theme="1"/>
        <rFont val="Times New Roman"/>
        <family val="1"/>
      </rPr>
      <t xml:space="preserve">                </t>
    </r>
    <r>
      <rPr>
        <sz val="12"/>
        <color theme="1"/>
        <rFont val="Times New Roman"/>
        <family val="1"/>
      </rPr>
      <t xml:space="preserve">Single Premium = </t>
    </r>
  </si>
  <si>
    <t>You are given the following assumptions to be used to value the contract under IFRS 17:</t>
  </si>
  <si>
    <r>
      <t>·</t>
    </r>
    <r>
      <rPr>
        <sz val="7"/>
        <color theme="1"/>
        <rFont val="Times New Roman"/>
        <family val="1"/>
      </rPr>
      <t xml:space="preserve">                </t>
    </r>
    <r>
      <rPr>
        <sz val="12"/>
        <color theme="1"/>
        <rFont val="Times New Roman"/>
        <family val="1"/>
      </rPr>
      <t xml:space="preserve">Maintenance costs / year = </t>
    </r>
  </si>
  <si>
    <r>
      <t>·</t>
    </r>
    <r>
      <rPr>
        <sz val="7"/>
        <color theme="1"/>
        <rFont val="Times New Roman"/>
        <family val="1"/>
      </rPr>
      <t xml:space="preserve">                </t>
    </r>
    <r>
      <rPr>
        <sz val="12"/>
        <color theme="1"/>
        <rFont val="Times New Roman"/>
        <family val="1"/>
      </rPr>
      <t>Mortality rate for all ages=</t>
    </r>
  </si>
  <si>
    <r>
      <t>·</t>
    </r>
    <r>
      <rPr>
        <sz val="7"/>
        <color theme="1"/>
        <rFont val="Times New Roman"/>
        <family val="1"/>
      </rPr>
      <t xml:space="preserve">                </t>
    </r>
    <r>
      <rPr>
        <sz val="12"/>
        <color theme="1"/>
        <rFont val="Times New Roman"/>
        <family val="1"/>
      </rPr>
      <t>Lapse rate per year =</t>
    </r>
  </si>
  <si>
    <r>
      <t>·</t>
    </r>
    <r>
      <rPr>
        <sz val="7"/>
        <color theme="1"/>
        <rFont val="Times New Roman"/>
        <family val="1"/>
      </rPr>
      <t xml:space="preserve">                </t>
    </r>
    <r>
      <rPr>
        <sz val="12"/>
        <color theme="1"/>
        <rFont val="Times New Roman"/>
        <family val="1"/>
      </rPr>
      <t>Locked-in discount rate =</t>
    </r>
  </si>
  <si>
    <r>
      <t>·</t>
    </r>
    <r>
      <rPr>
        <sz val="7"/>
        <color theme="1"/>
        <rFont val="Times New Roman"/>
        <family val="1"/>
      </rPr>
      <t xml:space="preserve">                </t>
    </r>
    <r>
      <rPr>
        <sz val="12"/>
        <color theme="1"/>
        <rFont val="Times New Roman"/>
        <family val="1"/>
      </rPr>
      <t>Risk adjustment (% of the liability for mortality and expenses)=</t>
    </r>
  </si>
  <si>
    <r>
      <t>·</t>
    </r>
    <r>
      <rPr>
        <sz val="7"/>
        <color theme="1"/>
        <rFont val="Times New Roman"/>
        <family val="1"/>
      </rPr>
      <t xml:space="preserve">                </t>
    </r>
    <r>
      <rPr>
        <sz val="12"/>
        <color theme="1"/>
        <rFont val="Times New Roman"/>
        <family val="1"/>
      </rPr>
      <t>The single premium is paid at inception of the policy</t>
    </r>
  </si>
  <si>
    <r>
      <t>·</t>
    </r>
    <r>
      <rPr>
        <sz val="7"/>
        <color theme="1"/>
        <rFont val="Times New Roman"/>
        <family val="1"/>
      </rPr>
      <t xml:space="preserve">                </t>
    </r>
    <r>
      <rPr>
        <sz val="12"/>
        <color theme="1"/>
        <rFont val="Times New Roman"/>
        <family val="1"/>
      </rPr>
      <t>Expenses are assumed to occur at the beginning of the year</t>
    </r>
  </si>
  <si>
    <r>
      <t>·</t>
    </r>
    <r>
      <rPr>
        <sz val="7"/>
        <color theme="1"/>
        <rFont val="Times New Roman"/>
        <family val="1"/>
      </rPr>
      <t xml:space="preserve">                </t>
    </r>
    <r>
      <rPr>
        <sz val="12"/>
        <color theme="1"/>
        <rFont val="Times New Roman"/>
        <family val="1"/>
      </rPr>
      <t>Death benefits are assumed to be paid at the end of the year</t>
    </r>
  </si>
  <si>
    <r>
      <t>(i)</t>
    </r>
    <r>
      <rPr>
        <sz val="7"/>
        <color theme="1"/>
        <rFont val="Times New Roman"/>
        <family val="1"/>
      </rPr>
      <t> </t>
    </r>
    <r>
      <rPr>
        <sz val="12"/>
        <color theme="1"/>
        <rFont val="Times New Roman"/>
        <family val="1"/>
      </rPr>
      <t>Determine the CSM or loss component at issue. Show all work.</t>
    </r>
  </si>
  <si>
    <r>
      <t>(ii)</t>
    </r>
    <r>
      <rPr>
        <sz val="7"/>
        <color theme="1"/>
        <rFont val="Times New Roman"/>
        <family val="1"/>
      </rPr>
      <t>  </t>
    </r>
    <r>
      <rPr>
        <sz val="12"/>
        <color theme="1"/>
        <rFont val="Times New Roman"/>
        <family val="1"/>
      </rPr>
      <t xml:space="preserve">Assume that a basis change increases reserves at the end of the second year by 20 measured at the locked-in discount rate. </t>
    </r>
  </si>
  <si>
    <t xml:space="preserve">Calculate the CSM balance for all years. Show all work.  </t>
  </si>
  <si>
    <t>QUESTION 5 (b) i, ii</t>
  </si>
  <si>
    <t>Responses for parts (a), (b)iii, and (b)iv are to be provided in the Word document.</t>
  </si>
  <si>
    <t>Responses for part (b)i and (b)ii are to be provided in this tab.</t>
  </si>
  <si>
    <r>
      <t>(b)</t>
    </r>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You are given the following information for a Canadian stock life insurance company with respect to the LICAT requirements:</t>
    </r>
  </si>
  <si>
    <t>Base solvency buffer</t>
  </si>
  <si>
    <t xml:space="preserve">Surplus allowance </t>
  </si>
  <si>
    <t>Eligible deposits</t>
  </si>
  <si>
    <t>Contributed surplus</t>
  </si>
  <si>
    <t>Adjusted retained earnings</t>
  </si>
  <si>
    <t>Adjusted other comprehensive income (AOCI)</t>
  </si>
  <si>
    <t>Goodwill</t>
  </si>
  <si>
    <t xml:space="preserve">Policy-by-policy negative reserves </t>
  </si>
  <si>
    <t>Tier 2 capital instruments</t>
  </si>
  <si>
    <r>
      <t>·</t>
    </r>
    <r>
      <rPr>
        <sz val="7"/>
        <color theme="1"/>
        <rFont val="Times New Roman"/>
        <family val="1"/>
      </rPr>
      <t xml:space="preserve">                </t>
    </r>
    <r>
      <rPr>
        <sz val="12"/>
        <color theme="1"/>
        <rFont val="Times New Roman"/>
        <family val="1"/>
      </rPr>
      <t xml:space="preserve">All business is individually underwritten Canadian life business </t>
    </r>
  </si>
  <si>
    <r>
      <t>·</t>
    </r>
    <r>
      <rPr>
        <sz val="7"/>
        <color theme="1"/>
        <rFont val="Times New Roman"/>
        <family val="1"/>
      </rPr>
      <t xml:space="preserve">                </t>
    </r>
    <r>
      <rPr>
        <sz val="12"/>
        <color theme="1"/>
        <rFont val="Times New Roman"/>
        <family val="1"/>
      </rPr>
      <t xml:space="preserve">Negative reserves are not recoverable on surrender </t>
    </r>
  </si>
  <si>
    <r>
      <t>(i)</t>
    </r>
    <r>
      <rPr>
        <sz val="7"/>
        <color theme="1"/>
        <rFont val="Times New Roman"/>
        <family val="1"/>
      </rPr>
      <t xml:space="preserve">     </t>
    </r>
    <r>
      <rPr>
        <sz val="12"/>
        <color theme="1"/>
        <rFont val="Times New Roman"/>
        <family val="1"/>
      </rPr>
      <t>Calculate the Total Ratio.</t>
    </r>
  </si>
  <si>
    <r>
      <t>(ii)</t>
    </r>
    <r>
      <rPr>
        <sz val="7"/>
        <color theme="1"/>
        <rFont val="Times New Roman"/>
        <family val="1"/>
      </rPr>
      <t>   </t>
    </r>
    <r>
      <rPr>
        <sz val="12"/>
        <color theme="1"/>
        <rFont val="Times New Roman"/>
        <family val="1"/>
      </rPr>
      <t>Calculate the Core Ratio.</t>
    </r>
  </si>
  <si>
    <t xml:space="preserve">QUESTION 6 (b) </t>
  </si>
  <si>
    <t>Responses for part (a) are to be provided in the Word document.</t>
  </si>
  <si>
    <r>
      <t>(b)</t>
    </r>
    <r>
      <rPr>
        <sz val="7"/>
        <color theme="1"/>
        <rFont val="Times New Roman"/>
        <family val="1"/>
      </rPr>
      <t>   </t>
    </r>
    <r>
      <rPr>
        <sz val="12"/>
        <color theme="1"/>
        <rFont val="Times New Roman"/>
        <family val="1"/>
      </rPr>
      <t>(</t>
    </r>
    <r>
      <rPr>
        <i/>
        <sz val="12"/>
        <color theme="1"/>
        <rFont val="Times New Roman"/>
        <family val="1"/>
      </rPr>
      <t>3 points</t>
    </r>
    <r>
      <rPr>
        <sz val="12"/>
        <color theme="1"/>
        <rFont val="Times New Roman"/>
        <family val="1"/>
      </rPr>
      <t xml:space="preserve">)  You are provided with the following information for a life insurance company: </t>
    </r>
  </si>
  <si>
    <t>Year 6</t>
  </si>
  <si>
    <t xml:space="preserve">Base Solvency Buffer </t>
  </si>
  <si>
    <t>Target Capital ratio</t>
  </si>
  <si>
    <t>Pre-tax earned rate on assets supporting capital</t>
  </si>
  <si>
    <t>Effective tax rate</t>
  </si>
  <si>
    <t>Weighted average cost of capital</t>
  </si>
  <si>
    <t>Assume there is no reinsurance.</t>
  </si>
  <si>
    <t>Calculate the cost of capital. Show all work.</t>
  </si>
  <si>
    <t xml:space="preserve">QUESTION 7 (c) </t>
  </si>
  <si>
    <r>
      <t>(c)</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You are given the following information for a UL policy:</t>
    </r>
  </si>
  <si>
    <r>
      <t>·</t>
    </r>
    <r>
      <rPr>
        <sz val="7"/>
        <color theme="1"/>
        <rFont val="Times New Roman"/>
        <family val="1"/>
      </rPr>
      <t xml:space="preserve">                </t>
    </r>
    <r>
      <rPr>
        <sz val="12"/>
        <color theme="1"/>
        <rFont val="Times New Roman"/>
        <family val="1"/>
      </rPr>
      <t>The policy is issued on January 1, 2020 to a female non-smoker, age 50.</t>
    </r>
  </si>
  <si>
    <r>
      <t>·</t>
    </r>
    <r>
      <rPr>
        <sz val="7"/>
        <color theme="1"/>
        <rFont val="Times New Roman"/>
        <family val="1"/>
      </rPr>
      <t xml:space="preserve">                </t>
    </r>
    <r>
      <rPr>
        <sz val="12"/>
        <color theme="1"/>
        <rFont val="Times New Roman"/>
        <family val="1"/>
      </rPr>
      <t xml:space="preserve">The policy has a level death benefit of 100,000. </t>
    </r>
  </si>
  <si>
    <r>
      <t>·</t>
    </r>
    <r>
      <rPr>
        <sz val="7"/>
        <color theme="1"/>
        <rFont val="Times New Roman"/>
        <family val="1"/>
      </rPr>
      <t xml:space="preserve">                </t>
    </r>
    <r>
      <rPr>
        <sz val="12"/>
        <color theme="1"/>
        <rFont val="Times New Roman"/>
        <family val="1"/>
      </rPr>
      <t>The cost of insurance is deducted at the beginning of the year</t>
    </r>
  </si>
  <si>
    <r>
      <t>·</t>
    </r>
    <r>
      <rPr>
        <sz val="7"/>
        <color theme="1"/>
        <rFont val="Times New Roman"/>
        <family val="1"/>
      </rPr>
      <t xml:space="preserve">                </t>
    </r>
    <r>
      <rPr>
        <sz val="12"/>
        <color theme="1"/>
        <rFont val="Times New Roman"/>
        <family val="1"/>
      </rPr>
      <t>Interest is credited at the end of each policy year at a rate of 5%.</t>
    </r>
  </si>
  <si>
    <r>
      <t>·</t>
    </r>
    <r>
      <rPr>
        <sz val="7"/>
        <color theme="1"/>
        <rFont val="Times New Roman"/>
        <family val="1"/>
      </rPr>
      <t xml:space="preserve">                </t>
    </r>
    <r>
      <rPr>
        <sz val="12"/>
        <color theme="1"/>
        <rFont val="Times New Roman"/>
        <family val="1"/>
      </rPr>
      <t>The policy is funded with a single premium of 10,000.</t>
    </r>
  </si>
  <si>
    <r>
      <t>·</t>
    </r>
    <r>
      <rPr>
        <sz val="7"/>
        <color theme="1"/>
        <rFont val="Times New Roman"/>
        <family val="1"/>
      </rPr>
      <t xml:space="preserve">                </t>
    </r>
    <r>
      <rPr>
        <sz val="12"/>
        <color theme="1"/>
        <rFont val="Times New Roman"/>
        <family val="1"/>
      </rPr>
      <t>The policy is considered to be an exempt policy.</t>
    </r>
  </si>
  <si>
    <r>
      <t>·</t>
    </r>
    <r>
      <rPr>
        <sz val="7"/>
        <color theme="1"/>
        <rFont val="Times New Roman"/>
        <family val="1"/>
      </rPr>
      <t xml:space="preserve">                </t>
    </r>
    <r>
      <rPr>
        <sz val="12"/>
        <color theme="1"/>
        <rFont val="Times New Roman"/>
        <family val="1"/>
      </rPr>
      <t xml:space="preserve">There are no policy loans. </t>
    </r>
  </si>
  <si>
    <t>Rates / 1000 of death benefit</t>
  </si>
  <si>
    <t>Cost-of-Insurance</t>
  </si>
  <si>
    <t>Net cost of pure insurance (NCPI)</t>
  </si>
  <si>
    <t xml:space="preserve">Assume that the policy is surrendered at the end of year 3. </t>
  </si>
  <si>
    <t xml:space="preserve">Determine the taxable income of the policyholder at time of surrender. </t>
  </si>
  <si>
    <t>QUESTION 8 (a) i, ii</t>
  </si>
  <si>
    <t>Responses for parts (b) and (c) are to be provided in the Word document.</t>
  </si>
  <si>
    <t>Responses for part (a)i and (a)ii are to be provided in this tab.</t>
  </si>
  <si>
    <r>
      <t>(</t>
    </r>
    <r>
      <rPr>
        <i/>
        <sz val="12"/>
        <color theme="1"/>
        <rFont val="Times New Roman"/>
        <family val="1"/>
      </rPr>
      <t>5 points</t>
    </r>
    <r>
      <rPr>
        <sz val="12"/>
        <color theme="1"/>
        <rFont val="Times New Roman"/>
        <family val="1"/>
      </rPr>
      <t xml:space="preserve">) You are given the following assumptions for a block of 10-year term life policies:  </t>
    </r>
  </si>
  <si>
    <t>Issue Age</t>
  </si>
  <si>
    <t>Mortality rates</t>
  </si>
  <si>
    <t>The total cohort, exhibiting average mortality, contains the following groups:</t>
  </si>
  <si>
    <r>
      <t>·</t>
    </r>
    <r>
      <rPr>
        <sz val="7"/>
        <color theme="1"/>
        <rFont val="Times New Roman"/>
        <family val="1"/>
      </rPr>
      <t xml:space="preserve">                </t>
    </r>
    <r>
      <rPr>
        <sz val="12"/>
        <color theme="1"/>
        <rFont val="Times New Roman"/>
        <family val="1"/>
      </rPr>
      <t>The proportion of the total cohort that persists</t>
    </r>
  </si>
  <si>
    <r>
      <t>·</t>
    </r>
    <r>
      <rPr>
        <sz val="7"/>
        <color theme="1"/>
        <rFont val="Times New Roman"/>
        <family val="1"/>
      </rPr>
      <t xml:space="preserve">                </t>
    </r>
    <r>
      <rPr>
        <sz val="12"/>
        <color theme="1"/>
        <rFont val="Times New Roman"/>
        <family val="1"/>
      </rPr>
      <t>The proportion of those additional lapses who lapse with average mortality</t>
    </r>
  </si>
  <si>
    <r>
      <t>·</t>
    </r>
    <r>
      <rPr>
        <sz val="7"/>
        <color theme="1"/>
        <rFont val="Times New Roman"/>
        <family val="1"/>
      </rPr>
      <t xml:space="preserve">                </t>
    </r>
    <r>
      <rPr>
        <sz val="12"/>
        <color theme="1"/>
        <rFont val="Times New Roman"/>
        <family val="1"/>
      </rPr>
      <t>The proportion of those whose lapsation has already been accounted for in the base mortality table</t>
    </r>
  </si>
  <si>
    <t xml:space="preserve">Calculate the mortality rates reflecting mortality deterioration at policy year 10 for a policy with issue age 40, under </t>
  </si>
  <si>
    <r>
      <t>(i)</t>
    </r>
    <r>
      <rPr>
        <sz val="7"/>
        <color theme="1"/>
        <rFont val="Times New Roman"/>
        <family val="1"/>
      </rPr>
      <t xml:space="preserve">             </t>
    </r>
    <r>
      <rPr>
        <sz val="12"/>
        <color theme="1"/>
        <rFont val="Times New Roman"/>
        <family val="1"/>
      </rPr>
      <t xml:space="preserve">VTP2 </t>
    </r>
  </si>
  <si>
    <r>
      <t>(ii)</t>
    </r>
    <r>
      <rPr>
        <sz val="7"/>
        <color theme="1"/>
        <rFont val="Times New Roman"/>
        <family val="1"/>
      </rPr>
      <t xml:space="preserve">           </t>
    </r>
    <r>
      <rPr>
        <sz val="12"/>
        <color theme="1"/>
        <rFont val="Times New Roman"/>
        <family val="1"/>
      </rPr>
      <t>Dukes-MacDonald 2 (DM2)</t>
    </r>
  </si>
  <si>
    <t xml:space="preserve">QUESTION 9 (c) </t>
  </si>
  <si>
    <r>
      <t>(c)   (</t>
    </r>
    <r>
      <rPr>
        <i/>
        <sz val="12"/>
        <color theme="1"/>
        <rFont val="Times New Roman"/>
        <family val="1"/>
      </rPr>
      <t>4 points</t>
    </r>
    <r>
      <rPr>
        <sz val="12"/>
        <color theme="1"/>
        <rFont val="Times New Roman"/>
        <family val="1"/>
      </rPr>
      <t xml:space="preserve">)  </t>
    </r>
  </si>
  <si>
    <t>You are provided with the following cash flow information for a group of contracts at the transition date (time period 0):</t>
  </si>
  <si>
    <t>Time period</t>
  </si>
  <si>
    <t>Best estimate cash flows</t>
  </si>
  <si>
    <t>Risk adjustment</t>
  </si>
  <si>
    <t>Non-Directly Attributable Expenses</t>
  </si>
  <si>
    <t>Target Capital</t>
  </si>
  <si>
    <t>You are given:</t>
  </si>
  <si>
    <r>
      <t>·</t>
    </r>
    <r>
      <rPr>
        <sz val="7"/>
        <color theme="1"/>
        <rFont val="Times New Roman"/>
        <family val="1"/>
      </rPr>
      <t xml:space="preserve">                </t>
    </r>
    <r>
      <rPr>
        <sz val="12"/>
        <color theme="1"/>
        <rFont val="Times New Roman"/>
        <family val="1"/>
      </rPr>
      <t xml:space="preserve">IFRS 17 discount rate = </t>
    </r>
  </si>
  <si>
    <r>
      <t>·</t>
    </r>
    <r>
      <rPr>
        <sz val="7"/>
        <color theme="1"/>
        <rFont val="Times New Roman"/>
        <family val="1"/>
      </rPr>
      <t xml:space="preserve">                </t>
    </r>
    <r>
      <rPr>
        <sz val="12"/>
        <color theme="1"/>
        <rFont val="Times New Roman"/>
        <family val="1"/>
      </rPr>
      <t xml:space="preserve">Hurdle rate = </t>
    </r>
  </si>
  <si>
    <r>
      <t>·</t>
    </r>
    <r>
      <rPr>
        <sz val="7"/>
        <color theme="1"/>
        <rFont val="Times New Roman"/>
        <family val="1"/>
      </rPr>
      <t xml:space="preserve">                </t>
    </r>
    <r>
      <rPr>
        <sz val="12"/>
        <color theme="1"/>
        <rFont val="Times New Roman"/>
        <family val="1"/>
      </rPr>
      <t>Earned Rate on Surplus =</t>
    </r>
  </si>
  <si>
    <r>
      <t>·</t>
    </r>
    <r>
      <rPr>
        <sz val="7"/>
        <color theme="1"/>
        <rFont val="Times New Roman"/>
        <family val="1"/>
      </rPr>
      <t xml:space="preserve">                </t>
    </r>
    <r>
      <rPr>
        <sz val="12"/>
        <color theme="1"/>
        <rFont val="Times New Roman"/>
        <family val="1"/>
      </rPr>
      <t xml:space="preserve">Tax rate = </t>
    </r>
  </si>
  <si>
    <r>
      <t>·</t>
    </r>
    <r>
      <rPr>
        <sz val="7"/>
        <color theme="1"/>
        <rFont val="Times New Roman"/>
        <family val="1"/>
      </rPr>
      <t xml:space="preserve">                </t>
    </r>
    <r>
      <rPr>
        <sz val="12"/>
        <color theme="1"/>
        <rFont val="Times New Roman"/>
        <family val="1"/>
      </rPr>
      <t>Own Credit Risk =</t>
    </r>
  </si>
  <si>
    <t>Determine the CSM at the transition date.  Show all work.</t>
  </si>
  <si>
    <t>Product Features</t>
  </si>
  <si>
    <t>Single Premium</t>
  </si>
  <si>
    <t>Annual Maintenance Expenses</t>
  </si>
  <si>
    <t>Death rate</t>
  </si>
  <si>
    <t>Lapse rate</t>
  </si>
  <si>
    <t>Locked in rate</t>
  </si>
  <si>
    <t>Risk Adjustment (= % of Death Benefits &amp; Directly Attributable Expenses)</t>
  </si>
  <si>
    <t xml:space="preserve">Part i) </t>
  </si>
  <si>
    <t xml:space="preserve">Best Estimate Liability Cashflows </t>
  </si>
  <si>
    <t xml:space="preserve">Duration </t>
  </si>
  <si>
    <t>qx</t>
  </si>
  <si>
    <t>wx</t>
  </si>
  <si>
    <t>Sx</t>
  </si>
  <si>
    <t>Undiscounted Cashflows</t>
  </si>
  <si>
    <t>Premiums</t>
  </si>
  <si>
    <t>Death Benefits</t>
  </si>
  <si>
    <t>Other Expense Payments</t>
  </si>
  <si>
    <t>Discounted Cashflows</t>
  </si>
  <si>
    <t>NPV</t>
  </si>
  <si>
    <t>Risk Adjustments</t>
  </si>
  <si>
    <t>Initial CSM</t>
  </si>
  <si>
    <t xml:space="preserve">Part ii) </t>
  </si>
  <si>
    <t>Coverage Units Projection</t>
  </si>
  <si>
    <t xml:space="preserve"> (if policies are in force at beginning of year, service is provided for insurance contracts in that year)</t>
  </si>
  <si>
    <t xml:space="preserve">Coverage </t>
  </si>
  <si>
    <t>Probability of Survival</t>
  </si>
  <si>
    <t>Current Service (A)</t>
  </si>
  <si>
    <t>Current &amp; Future Service (B)</t>
  </si>
  <si>
    <t>CSM Amortization Factor (A / B)</t>
  </si>
  <si>
    <t>CSM Amortization (i.e., assumes actual = expected) or CSM Rollforward</t>
  </si>
  <si>
    <t xml:space="preserve">Opening CSM </t>
  </si>
  <si>
    <t>CSM with interest accreted</t>
  </si>
  <si>
    <t xml:space="preserve">Insurance Finance Expense </t>
  </si>
  <si>
    <t>Future period variance</t>
  </si>
  <si>
    <t>CSM Amortized into Insurance Revenue</t>
  </si>
  <si>
    <t xml:space="preserve">Ending CSM </t>
  </si>
  <si>
    <t>Alternate Solution: With discounting applied to the calculation of future service</t>
  </si>
  <si>
    <t>QUESTION 1 (b) i, ii</t>
  </si>
  <si>
    <r>
      <t>(b)</t>
    </r>
    <r>
      <rPr>
        <sz val="7"/>
        <color theme="1"/>
        <rFont val="Times New Roman"/>
        <family val="1"/>
      </rPr>
      <t xml:space="preserve">            </t>
    </r>
    <r>
      <rPr>
        <sz val="12"/>
        <color theme="1"/>
        <rFont val="Times New Roman"/>
        <family val="1"/>
      </rPr>
      <t>(</t>
    </r>
    <r>
      <rPr>
        <i/>
        <sz val="12"/>
        <color theme="1"/>
        <rFont val="Times New Roman"/>
        <family val="1"/>
      </rPr>
      <t>6 points</t>
    </r>
    <r>
      <rPr>
        <sz val="12"/>
        <color theme="1"/>
        <rFont val="Times New Roman"/>
        <family val="1"/>
      </rPr>
      <t>)  You are given:</t>
    </r>
  </si>
  <si>
    <r>
      <t>·</t>
    </r>
    <r>
      <rPr>
        <sz val="7"/>
        <color theme="1"/>
        <rFont val="Times New Roman"/>
        <family val="1"/>
      </rPr>
      <t xml:space="preserve">                </t>
    </r>
    <r>
      <rPr>
        <sz val="12"/>
        <color theme="1"/>
        <rFont val="Times New Roman"/>
        <family val="1"/>
      </rPr>
      <t>Marginal risk capital is used to allocate risk capital across business units.</t>
    </r>
  </si>
  <si>
    <r>
      <t>·</t>
    </r>
    <r>
      <rPr>
        <sz val="7"/>
        <color theme="1"/>
        <rFont val="Times New Roman"/>
        <family val="1"/>
      </rPr>
      <t xml:space="preserve">                </t>
    </r>
    <r>
      <rPr>
        <sz val="12"/>
        <color theme="1"/>
        <rFont val="Times New Roman"/>
        <family val="1"/>
      </rPr>
      <t>The continuously compounded risk-free rate of interest is 3%.</t>
    </r>
  </si>
  <si>
    <t>Correlation of profits by business unit</t>
  </si>
  <si>
    <t>Annuities</t>
  </si>
  <si>
    <t>Mutual Funds</t>
  </si>
  <si>
    <t>Seg Funds</t>
  </si>
  <si>
    <t>Term Life</t>
  </si>
  <si>
    <t>Business Unit Group</t>
  </si>
  <si>
    <t>Annual Volatility of profits</t>
  </si>
  <si>
    <t>Liabilities at time 0</t>
  </si>
  <si>
    <t>Risk-free value of net assets at the end of the first year</t>
  </si>
  <si>
    <t>Annuities (1)</t>
  </si>
  <si>
    <t>Mutual Funds (2)</t>
  </si>
  <si>
    <t>Seg Funds (3)</t>
  </si>
  <si>
    <t>Term Life (4)</t>
  </si>
  <si>
    <t>1 &amp; 2 &amp; 3</t>
  </si>
  <si>
    <t>1 &amp; 2 &amp; 4</t>
  </si>
  <si>
    <t>1 &amp; 3 &amp; 4</t>
  </si>
  <si>
    <t>2 &amp; 3 &amp; 4</t>
  </si>
  <si>
    <t>1 &amp; 2 &amp; 3 &amp; 4</t>
  </si>
  <si>
    <r>
      <t>(i)</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variance of business profits of a portfolio consisting of mutual funds and segregated funds.</t>
    </r>
  </si>
  <si>
    <r>
      <t>(ii)</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the proportion of unallocated risk capital for MGP at the end of the second year.</t>
    </r>
  </si>
  <si>
    <t>QUESTION 3 (b), (c), and (d)</t>
  </si>
  <si>
    <t>Responses for parts (b), (c), and (d) are to be provided in this tab.</t>
  </si>
  <si>
    <t>Accumulating fund</t>
  </si>
  <si>
    <t>Payment during the year</t>
  </si>
  <si>
    <t xml:space="preserve">Mortality gain </t>
  </si>
  <si>
    <t>Calculate the taxable income to the policyholder assuming the policyholder survives to the end of the first year:</t>
  </si>
  <si>
    <t>Calculate the policyholder’s annual taxable income. Show all work.</t>
  </si>
  <si>
    <r>
      <t>(d) (</t>
    </r>
    <r>
      <rPr>
        <i/>
        <sz val="12"/>
        <color theme="1"/>
        <rFont val="Times New Roman"/>
        <family val="1"/>
      </rPr>
      <t>3 points</t>
    </r>
    <r>
      <rPr>
        <sz val="12"/>
        <color theme="1"/>
        <rFont val="Times New Roman"/>
        <family val="1"/>
      </rPr>
      <t>)  You are given the following information for a block of life insurance policies issued in 2020:</t>
    </r>
  </si>
  <si>
    <t>Maximum Tax Actuarial Reserves (MTAR)</t>
  </si>
  <si>
    <t>Average interest rate on long term government of Canada bonds =</t>
  </si>
  <si>
    <t>Investment income reported to policyholders during 2021 =</t>
  </si>
  <si>
    <t>Calculate the amount of Investment Income Tax (IIT) payable for the 2021 taxation year. Show all work.</t>
  </si>
  <si>
    <t>QUESTION 4 (c), (d)ii, and (d)iii</t>
  </si>
  <si>
    <t>Responses for parts (a), (b), (d)i, and (e) are to be provided in the Word document.</t>
  </si>
  <si>
    <t>Responses for parts (c), (d)ii, and (d)iii are to be provided in this tab.</t>
  </si>
  <si>
    <t>XYZ Insurance sells and underwrites the product Easy-Term with the following features:</t>
  </si>
  <si>
    <r>
      <t>·</t>
    </r>
    <r>
      <rPr>
        <sz val="7"/>
        <color theme="1"/>
        <rFont val="Times New Roman"/>
        <family val="1"/>
      </rPr>
      <t xml:space="preserve">       </t>
    </r>
    <r>
      <rPr>
        <sz val="12"/>
        <color theme="1"/>
        <rFont val="Times New Roman"/>
        <family val="1"/>
      </rPr>
      <t>Coverage is provided for 3 years, with a one time option to renew the contract for an additional 3 years.</t>
    </r>
  </si>
  <si>
    <r>
      <t>·</t>
    </r>
    <r>
      <rPr>
        <sz val="7"/>
        <color theme="1"/>
        <rFont val="Times New Roman"/>
        <family val="1"/>
      </rPr>
      <t xml:space="preserve">       </t>
    </r>
    <r>
      <rPr>
        <sz val="12"/>
        <color theme="1"/>
        <rFont val="Times New Roman"/>
        <family val="1"/>
      </rPr>
      <t>Premium payment is in the form of a single premium purchasing the insurance coverage for 3 years.</t>
    </r>
  </si>
  <si>
    <r>
      <t>·</t>
    </r>
    <r>
      <rPr>
        <sz val="7"/>
        <color theme="1"/>
        <rFont val="Times New Roman"/>
        <family val="1"/>
      </rPr>
      <t xml:space="preserve">       </t>
    </r>
    <r>
      <rPr>
        <sz val="12"/>
        <color theme="1"/>
        <rFont val="Times New Roman"/>
        <family val="1"/>
      </rPr>
      <t xml:space="preserve">The contract is fully underwritten at the time it is issued. </t>
    </r>
  </si>
  <si>
    <r>
      <t xml:space="preserve">        ·</t>
    </r>
    <r>
      <rPr>
        <sz val="7"/>
        <color theme="1"/>
        <rFont val="Times New Roman"/>
        <family val="1"/>
      </rPr>
      <t xml:space="preserve">       </t>
    </r>
    <r>
      <rPr>
        <sz val="12"/>
        <color theme="1"/>
        <rFont val="Times New Roman"/>
        <family val="1"/>
      </rPr>
      <t xml:space="preserve">Contract holders wishing to renew are required to fill out a medical questionnaire. XYZ is obliged to accept the renewal but there is no contractual limit on the premium that will be charged on renewal. </t>
    </r>
  </si>
  <si>
    <t>You have decided to measure Easy-Term using the General Measurement model.</t>
  </si>
  <si>
    <t xml:space="preserve">You are given the following at initial recognition for two groups of Easy-Term contracts: </t>
  </si>
  <si>
    <t>Group A</t>
  </si>
  <si>
    <t>Group B</t>
  </si>
  <si>
    <t>PV of non-attributable maintenance expenses</t>
  </si>
  <si>
    <t>Non-directly attributable acquisition expenses</t>
  </si>
  <si>
    <r>
      <t>c)</t>
    </r>
    <r>
      <rPr>
        <sz val="7"/>
        <color theme="1"/>
        <rFont val="Times New Roman"/>
        <family val="1"/>
      </rPr>
      <t xml:space="preserve">      </t>
    </r>
    <r>
      <rPr>
        <sz val="12"/>
        <color theme="1"/>
        <rFont val="Times New Roman"/>
        <family val="1"/>
      </rPr>
      <t>(2 points) Determine the impact to profit or loss at initial recognition for each group. Show all work.</t>
    </r>
  </si>
  <si>
    <t xml:space="preserve">(d) (3 points) XYZ Insurance issues another group of life insurance contracts in 2024 with a loss of 100 on the date of issue.  A reinsurance treaty covers these contracts from issue. </t>
  </si>
  <si>
    <t xml:space="preserve"> You are given the following information with respect to the reinsurance contract: </t>
  </si>
  <si>
    <t>Proportion of loss covered</t>
  </si>
  <si>
    <r>
      <t>75%</t>
    </r>
    <r>
      <rPr>
        <sz val="8"/>
        <color theme="1"/>
        <rFont val="Calibri"/>
        <family val="2"/>
        <scheme val="minor"/>
      </rPr>
      <t> </t>
    </r>
  </si>
  <si>
    <t>PV of reinsurance premiums payable</t>
  </si>
  <si>
    <t>PV of reinsurance claims recoverable</t>
  </si>
  <si>
    <t>Risk Adjustment ceded</t>
  </si>
  <si>
    <r>
      <t xml:space="preserve">                      </t>
    </r>
    <r>
      <rPr>
        <sz val="12"/>
        <color theme="1"/>
        <rFont val="Times New Roman"/>
        <family val="1"/>
      </rPr>
      <t>ii)</t>
    </r>
    <r>
      <rPr>
        <sz val="7"/>
        <color theme="1"/>
        <rFont val="Times New Roman"/>
        <family val="1"/>
      </rPr>
      <t xml:space="preserve">         </t>
    </r>
    <r>
      <rPr>
        <sz val="12"/>
        <color theme="1"/>
        <rFont val="Times New Roman"/>
        <family val="1"/>
      </rPr>
      <t>Calculate the impact of the reinsurance contract to the company.</t>
    </r>
  </si>
  <si>
    <r>
      <t xml:space="preserve">                    </t>
    </r>
    <r>
      <rPr>
        <sz val="12"/>
        <color theme="1"/>
        <rFont val="Times New Roman"/>
        <family val="1"/>
      </rPr>
      <t>iii)</t>
    </r>
    <r>
      <rPr>
        <sz val="7"/>
        <color theme="1"/>
        <rFont val="Times New Roman"/>
        <family val="1"/>
      </rPr>
      <t xml:space="preserve">         </t>
    </r>
    <r>
      <rPr>
        <sz val="12"/>
        <color theme="1"/>
        <rFont val="Times New Roman"/>
        <family val="1"/>
      </rPr>
      <t>Determine the impact to profitability to the group of contracts of the reinsurance contract held.  Show all work.</t>
    </r>
  </si>
  <si>
    <t>QUESTION 6 (c)</t>
  </si>
  <si>
    <r>
      <t>c)</t>
    </r>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You are given insurance cash flow projections in the Excel spreadsheet.</t>
    </r>
  </si>
  <si>
    <t>Claims</t>
  </si>
  <si>
    <t>Acquisition expenses</t>
  </si>
  <si>
    <t>Maintenance expenses</t>
  </si>
  <si>
    <t>Assume the following:</t>
  </si>
  <si>
    <r>
      <t>·</t>
    </r>
    <r>
      <rPr>
        <sz val="7"/>
        <color theme="1"/>
        <rFont val="Times New Roman"/>
        <family val="1"/>
      </rPr>
      <t xml:space="preserve">       </t>
    </r>
    <r>
      <rPr>
        <sz val="12"/>
        <color theme="1"/>
        <rFont val="Times New Roman"/>
        <family val="1"/>
      </rPr>
      <t xml:space="preserve">The contractual service margin and acquisition expenses are amortized linearly </t>
    </r>
    <r>
      <rPr>
        <sz val="12"/>
        <color theme="1"/>
        <rFont val="Times New Roman"/>
        <family val="1"/>
      </rPr>
      <t xml:space="preserve">over the 5-year duration of the contract </t>
    </r>
  </si>
  <si>
    <r>
      <t>·</t>
    </r>
    <r>
      <rPr>
        <sz val="7"/>
        <color theme="1"/>
        <rFont val="Times New Roman"/>
        <family val="1"/>
      </rPr>
      <t xml:space="preserve">       </t>
    </r>
    <r>
      <rPr>
        <sz val="12"/>
        <color theme="1"/>
        <rFont val="Times New Roman"/>
        <family val="1"/>
      </rPr>
      <t xml:space="preserve">The risk adjustment is 10% of expected future claim cash flows </t>
    </r>
  </si>
  <si>
    <r>
      <t>·</t>
    </r>
    <r>
      <rPr>
        <sz val="7"/>
        <color theme="1"/>
        <rFont val="Times New Roman"/>
        <family val="1"/>
      </rPr>
      <t xml:space="preserve">       </t>
    </r>
    <r>
      <rPr>
        <sz val="12"/>
        <color theme="1"/>
        <rFont val="Times New Roman"/>
        <family val="1"/>
      </rPr>
      <t>The locked-in discount rate is 5%</t>
    </r>
  </si>
  <si>
    <r>
      <t>·</t>
    </r>
    <r>
      <rPr>
        <sz val="7"/>
        <color theme="1"/>
        <rFont val="Times New Roman"/>
        <family val="1"/>
      </rPr>
      <t xml:space="preserve">       </t>
    </r>
    <r>
      <rPr>
        <sz val="12"/>
        <color theme="1"/>
        <rFont val="Times New Roman"/>
        <family val="1"/>
      </rPr>
      <t>All expenses in the table are attributable.</t>
    </r>
  </si>
  <si>
    <r>
      <t>·</t>
    </r>
    <r>
      <rPr>
        <sz val="7"/>
        <color theme="1"/>
        <rFont val="Times New Roman"/>
        <family val="1"/>
      </rPr>
      <t xml:space="preserve">       </t>
    </r>
    <r>
      <rPr>
        <sz val="12"/>
        <color theme="1"/>
        <rFont val="Times New Roman"/>
        <family val="1"/>
      </rPr>
      <t>Claims and maintenance expenses occur at the end of the year. Premiums and acquisition expenses occur at the beginning of the year.</t>
    </r>
  </si>
  <si>
    <r>
      <t>·</t>
    </r>
    <r>
      <rPr>
        <sz val="7"/>
        <color theme="1"/>
        <rFont val="Times New Roman"/>
        <family val="1"/>
      </rPr>
      <t xml:space="preserve">       </t>
    </r>
    <r>
      <rPr>
        <sz val="12"/>
        <color theme="1"/>
        <rFont val="Times New Roman"/>
        <family val="1"/>
      </rPr>
      <t>Actual claims are 110% of expected in year 1; no change to expected claim cash flows after year 1.</t>
    </r>
  </si>
  <si>
    <r>
      <t>·</t>
    </r>
    <r>
      <rPr>
        <sz val="7"/>
        <color theme="1"/>
        <rFont val="Times New Roman"/>
        <family val="1"/>
      </rPr>
      <t xml:space="preserve">       </t>
    </r>
    <r>
      <rPr>
        <sz val="12"/>
        <color theme="1"/>
        <rFont val="Times New Roman"/>
        <family val="1"/>
      </rPr>
      <t>Actual maintenance expenses are 95% of expected in year 1; no change to expected maintenance expense cash flows after year 1.</t>
    </r>
  </si>
  <si>
    <r>
      <t>·</t>
    </r>
    <r>
      <rPr>
        <sz val="7"/>
        <color theme="1"/>
        <rFont val="Times New Roman"/>
        <family val="1"/>
      </rPr>
      <t xml:space="preserve">       </t>
    </r>
    <r>
      <rPr>
        <sz val="12"/>
        <color theme="1"/>
        <rFont val="Times New Roman"/>
        <family val="1"/>
      </rPr>
      <t>Actual investment yields in year 1 are 6%</t>
    </r>
  </si>
  <si>
    <r>
      <t>·</t>
    </r>
    <r>
      <rPr>
        <sz val="7"/>
        <color theme="1"/>
        <rFont val="Times New Roman"/>
        <family val="1"/>
      </rPr>
      <t xml:space="preserve">       </t>
    </r>
    <r>
      <rPr>
        <sz val="12"/>
        <color theme="1"/>
        <rFont val="Times New Roman"/>
        <family val="1"/>
      </rPr>
      <t xml:space="preserve">Income tax rate is 0% </t>
    </r>
  </si>
  <si>
    <t>Calculate the profit or loss in year 1 under IFRS 17. Show your work</t>
  </si>
  <si>
    <t>QUESTION 7 (b) and (d)</t>
  </si>
  <si>
    <t>Responses for parts (b) and (d) are to be provided in this tab.</t>
  </si>
  <si>
    <r>
      <t>(b) (</t>
    </r>
    <r>
      <rPr>
        <i/>
        <sz val="12"/>
        <color theme="1"/>
        <rFont val="Times New Roman"/>
        <family val="1"/>
      </rPr>
      <t>3 points</t>
    </r>
    <r>
      <rPr>
        <sz val="12"/>
        <color theme="1"/>
        <rFont val="Times New Roman"/>
        <family val="1"/>
      </rPr>
      <t>)  You are given the following assumptions for a renewable 10-year term life insurance product:</t>
    </r>
  </si>
  <si>
    <t xml:space="preserve">Total lapse rate at duration 10 </t>
  </si>
  <si>
    <r>
      <rPr>
        <sz val="7"/>
        <color theme="1"/>
        <rFont val="Times New Roman"/>
        <family val="1"/>
      </rPr>
      <t xml:space="preserve"> </t>
    </r>
    <r>
      <rPr>
        <sz val="12"/>
        <color theme="1"/>
        <rFont val="Times New Roman"/>
        <family val="1"/>
      </rPr>
      <t xml:space="preserve">Base lapse rate at duration 10 </t>
    </r>
  </si>
  <si>
    <r>
      <rPr>
        <sz val="7"/>
        <color theme="1"/>
        <rFont val="Times New Roman"/>
        <family val="1"/>
      </rPr>
      <t> </t>
    </r>
    <r>
      <rPr>
        <sz val="12"/>
        <color theme="1"/>
        <rFont val="Times New Roman"/>
        <family val="1"/>
      </rPr>
      <t>Selective proportion</t>
    </r>
  </si>
  <si>
    <t>Attained age mortality at duration 11, per thousand</t>
  </si>
  <si>
    <t>Residual mortality at duration 11, per thousand</t>
  </si>
  <si>
    <t xml:space="preserve">Calculate the select mortality at duration 11 based on the VTP2 revised method.  Show all work. </t>
  </si>
  <si>
    <r>
      <t>(d) (</t>
    </r>
    <r>
      <rPr>
        <i/>
        <sz val="12"/>
        <color theme="1"/>
        <rFont val="Times New Roman"/>
        <family val="1"/>
      </rPr>
      <t>4 points</t>
    </r>
    <r>
      <rPr>
        <sz val="12"/>
        <color theme="1"/>
        <rFont val="Times New Roman"/>
        <family val="1"/>
      </rPr>
      <t>)  You are provided with the following information for a 3-year payout annuity contract:</t>
    </r>
  </si>
  <si>
    <r>
      <rPr>
        <sz val="7"/>
        <color theme="1"/>
        <rFont val="Times New Roman"/>
        <family val="1"/>
      </rPr>
      <t xml:space="preserve"> </t>
    </r>
    <r>
      <rPr>
        <sz val="12"/>
        <color theme="1"/>
        <rFont val="Times New Roman"/>
        <family val="1"/>
      </rPr>
      <t>Issue date</t>
    </r>
  </si>
  <si>
    <t>December 31, 2020</t>
  </si>
  <si>
    <r>
      <rPr>
        <sz val="7"/>
        <color theme="1"/>
        <rFont val="Times New Roman"/>
        <family val="1"/>
      </rPr>
      <t xml:space="preserve"> </t>
    </r>
    <r>
      <rPr>
        <sz val="12"/>
        <color theme="1"/>
        <rFont val="Times New Roman"/>
        <family val="1"/>
      </rPr>
      <t>Issue age</t>
    </r>
  </si>
  <si>
    <r>
      <rPr>
        <sz val="7"/>
        <color theme="1"/>
        <rFont val="Times New Roman"/>
        <family val="1"/>
      </rPr>
      <t xml:space="preserve"> </t>
    </r>
    <r>
      <rPr>
        <sz val="12"/>
        <color theme="1"/>
        <rFont val="Times New Roman"/>
        <family val="1"/>
      </rPr>
      <t xml:space="preserve">Mortality margin </t>
    </r>
  </si>
  <si>
    <r>
      <rPr>
        <sz val="7"/>
        <color theme="1"/>
        <rFont val="Times New Roman"/>
        <family val="1"/>
      </rPr>
      <t xml:space="preserve"> </t>
    </r>
    <r>
      <rPr>
        <sz val="12"/>
        <color theme="1"/>
        <rFont val="Times New Roman"/>
        <family val="1"/>
      </rPr>
      <t xml:space="preserve">Mortality improvement margin </t>
    </r>
  </si>
  <si>
    <r>
      <rPr>
        <sz val="7"/>
        <color theme="1"/>
        <rFont val="Times New Roman"/>
        <family val="1"/>
      </rPr>
      <t xml:space="preserve"> </t>
    </r>
    <r>
      <rPr>
        <sz val="12"/>
        <color theme="1"/>
        <rFont val="Times New Roman"/>
        <family val="1"/>
      </rPr>
      <t xml:space="preserve">Diversification factor </t>
    </r>
  </si>
  <si>
    <t>Best estimate mortality rates</t>
  </si>
  <si>
    <t>Best estimate mortality improvement rates</t>
  </si>
  <si>
    <t>Calendar Year</t>
  </si>
  <si>
    <t>Attained age</t>
  </si>
  <si>
    <t>Calculate projected mortality rates by duration including mortality improvement rates and margins.</t>
  </si>
  <si>
    <t>QUESTION 8 (b)</t>
  </si>
  <si>
    <r>
      <t>(b)</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xml:space="preserve">)  You are provided with the following mortality capital components: </t>
    </r>
  </si>
  <si>
    <t>Life</t>
  </si>
  <si>
    <t>Annuity</t>
  </si>
  <si>
    <t xml:space="preserve">Assume that the life block is life supported and the annuity block is death supported. </t>
  </si>
  <si>
    <t>Calculate the LICAT total mortality buffer for the combined blocks. Show all work.</t>
  </si>
  <si>
    <t>Given:</t>
  </si>
  <si>
    <t>Two solutions are provided, as linear amortization of the CSM may be interpreted differently. Any reasonable linear amortization would receive full credit. All 5 years are shown here but only year 1 needs to be calculated for full credit.</t>
  </si>
  <si>
    <t>Locked-in Rate</t>
  </si>
  <si>
    <t>Expected Cashflows (Initial Recognition)</t>
  </si>
  <si>
    <t>BOY</t>
  </si>
  <si>
    <t>Acquisition Commission</t>
  </si>
  <si>
    <t>Renewal Commission</t>
  </si>
  <si>
    <t>Acquisition Expenses Attributable</t>
  </si>
  <si>
    <t>EOY</t>
  </si>
  <si>
    <t>Maintenance Expense Attributable</t>
  </si>
  <si>
    <t>Acquisition Expenses Non-Attributable</t>
  </si>
  <si>
    <t>Maintenance Expense Non-Attributable</t>
  </si>
  <si>
    <t>Total Net CFs</t>
  </si>
  <si>
    <t>Actual Cashflows</t>
  </si>
  <si>
    <t>Expected Risk Adjustment CFs (Initial Recognition)</t>
  </si>
  <si>
    <t>Actual Risk Adjustment CFs</t>
  </si>
  <si>
    <t>Coverage Units Reconciliation</t>
  </si>
  <si>
    <t>Opening</t>
  </si>
  <si>
    <t>Deaths</t>
  </si>
  <si>
    <t>Lapses</t>
  </si>
  <si>
    <t>Closing</t>
  </si>
  <si>
    <t>Liability on Initial Recognition</t>
  </si>
  <si>
    <t>PV Premiums</t>
  </si>
  <si>
    <t>PV Renewal Commission</t>
  </si>
  <si>
    <t>PV Maintenance Expense Attributable</t>
  </si>
  <si>
    <t>PV Claims</t>
  </si>
  <si>
    <t>PV Attributable Acquistion CFs</t>
  </si>
  <si>
    <t>PV Risk Adjustment CFs</t>
  </si>
  <si>
    <t>CSM at Initial Recognition</t>
  </si>
  <si>
    <t>Reconciliation of Best Estimate Liabilities (BEL)</t>
  </si>
  <si>
    <t>Changes Related to Future Services: New Business</t>
  </si>
  <si>
    <t>Change Related to Future Services:  Assumptions</t>
  </si>
  <si>
    <t>Expected Cash Inflows</t>
  </si>
  <si>
    <t>Expected Cash Outflows</t>
  </si>
  <si>
    <t>Changes Related to Current Services: Experience</t>
  </si>
  <si>
    <t>Changes Related to Current Services: Release</t>
  </si>
  <si>
    <t>Reconciliation of Risk Adjustment (RA)</t>
  </si>
  <si>
    <t>Reconciliation of Contractual Service Margin (CSM)</t>
  </si>
  <si>
    <t>Reconciliation of Total Contract Liability</t>
  </si>
  <si>
    <t>Reconciliation of Acquisition Expense Amortization</t>
  </si>
  <si>
    <t>New Acquistion Expense</t>
  </si>
  <si>
    <t>Accretion of Interest</t>
  </si>
  <si>
    <t>Amortized Expense</t>
  </si>
  <si>
    <t>Statement of Profit or Loss</t>
  </si>
  <si>
    <t>Release of CSM</t>
  </si>
  <si>
    <t>Release of Risk Adjustment</t>
  </si>
  <si>
    <t>Expected Claims</t>
  </si>
  <si>
    <t>Expected Expenses</t>
  </si>
  <si>
    <t>Recovery of Acquisition Cash Flows</t>
  </si>
  <si>
    <t>Insurance Service Revenue</t>
  </si>
  <si>
    <t>Claims Incurred</t>
  </si>
  <si>
    <t>Expenses Incurred</t>
  </si>
  <si>
    <t>Amortization of Acquisition Cash Flows</t>
  </si>
  <si>
    <t>Other Expense</t>
  </si>
  <si>
    <t>Financial Gain/Loss</t>
  </si>
  <si>
    <t>Profit or Loss</t>
  </si>
  <si>
    <t>QUESTION 1</t>
  </si>
  <si>
    <t>Response for part (b) is to be provided in the next tab.</t>
  </si>
  <si>
    <t>MLB Life Insurance, a US-based insurer, is adopting VM-20 for a block of newly issued universal life with secondary guarantee insurance policies.</t>
  </si>
  <si>
    <t>(a) (6 points) Describe the assumptions used for the reserve methodologies by completing the table:</t>
  </si>
  <si>
    <t>Mortality Improvement</t>
  </si>
  <si>
    <t>VM-20 Net Premium Reserve</t>
  </si>
  <si>
    <t>VM-20 Deterministic Reserve</t>
  </si>
  <si>
    <t>Liability for Future Policyholder Benefits under Long Duration Targeted Improvements (LDTI)</t>
  </si>
  <si>
    <t>Response for part (a) is to be provided in the last tab.</t>
  </si>
  <si>
    <t>Response for part (b) is to be provided in this tab.</t>
  </si>
  <si>
    <t>(b) (2 points) Calculate the Scenario Reserve given the projected scenario below. Show all work.</t>
  </si>
  <si>
    <t>Statement Value of Assets</t>
  </si>
  <si>
    <t xml:space="preserve">One-Year Treasury Rate </t>
  </si>
  <si>
    <t>Responses for parts (a), (c) are to be provided in the Word document.</t>
  </si>
  <si>
    <t>Responses for parts (b) (i) and (ii) are to be provided in this tab.</t>
  </si>
  <si>
    <t>With respect to IFRS 17 discount rates:</t>
  </si>
  <si>
    <t xml:space="preserve">(b) (4 points)  A company’s liabilities are backed by a portfolio of 50% Government of Canada bonds and 50% corporate A bonds.  </t>
  </si>
  <si>
    <t>You are given the following information:</t>
  </si>
  <si>
    <t>Yield on Government of Canada Bond</t>
  </si>
  <si>
    <t>Corporate A spread</t>
  </si>
  <si>
    <t>Mortgage-backed securities spread</t>
  </si>
  <si>
    <t>Yield on credit default swaps</t>
  </si>
  <si>
    <t>Average market risk premium for equities and real estate</t>
  </si>
  <si>
    <t>Yield on mortgage-backed securities insured by Canada Mortgage and Housing Corporation</t>
  </si>
  <si>
    <t>Yield on mortgage-backed securities not insured by Canada Mortgage and Housing Corporation</t>
  </si>
  <si>
    <t>Calculate the discount rate under the following approaches. Show all work.</t>
  </si>
  <si>
    <t>(i) Top-down approach</t>
  </si>
  <si>
    <t>(ii) Hybrid approach</t>
  </si>
  <si>
    <t>QUESTION 3</t>
  </si>
  <si>
    <t>Responses for parts (a), (b) (ii) &amp; (iii) are to be provided in the Word document.</t>
  </si>
  <si>
    <t>(b) (5 points)  You are given the following about DJS, a Canadian life insurance company:</t>
  </si>
  <si>
    <t>DJS uses the cost-of-capital approach to determine its risk adjustment</t>
  </si>
  <si>
    <t>There are two product lines: life insurance and life annuities.</t>
  </si>
  <si>
    <t>The risk adjustment is calculated from annual cash flows.</t>
  </si>
  <si>
    <t>Target rate of return on capital for life business</t>
  </si>
  <si>
    <t>Target rate of return on capital for annuity business</t>
  </si>
  <si>
    <t>Required capital for both life insurance and annuities is given on a quarterly basis over four years:</t>
  </si>
  <si>
    <t>Capital for Life Business</t>
  </si>
  <si>
    <t>Capital for Annuity Business</t>
  </si>
  <si>
    <r>
      <t>(i) (</t>
    </r>
    <r>
      <rPr>
        <b/>
        <i/>
        <sz val="12"/>
        <color theme="1"/>
        <rFont val="Times New Roman"/>
        <family val="1"/>
      </rPr>
      <t>3 points</t>
    </r>
    <r>
      <rPr>
        <b/>
        <sz val="12"/>
        <color theme="1"/>
        <rFont val="Times New Roman"/>
        <family val="1"/>
      </rPr>
      <t>)  Calculate the risk adjustment for DJS</t>
    </r>
  </si>
  <si>
    <t>QUESTION 4</t>
  </si>
  <si>
    <t>(b) (2 points) A Canadian resident life insurer only does business in Canada and acquired a property on July 1, 2023.</t>
  </si>
  <si>
    <t>Cost of the property</t>
  </si>
  <si>
    <t>Expenditures during the year</t>
  </si>
  <si>
    <t>Income earned during the year</t>
  </si>
  <si>
    <t>Average annual rate of interest</t>
  </si>
  <si>
    <t>Calculate the imputed cost for income tax reporting in 2023. Show all work.</t>
  </si>
  <si>
    <t xml:space="preserve">ABC is a Canadian life insurance company that currently invests entirely in provincial bonds with a high degree of duration matching between assets and liabilities.  </t>
  </si>
  <si>
    <t xml:space="preserve">Upon the adoption of IFRS 17, ABC is considering changes to its investment strategy with the objective of increasing investment returns without increasing net income volatility. </t>
  </si>
  <si>
    <t>(b) (3 points) ABC is evaluating 3 proposed investment portfolios:</t>
  </si>
  <si>
    <t>Current Portfolio</t>
  </si>
  <si>
    <t>Proposed Portfolio 1</t>
  </si>
  <si>
    <t>Proposed Portfolio 2</t>
  </si>
  <si>
    <t>Proposed Portfolio 3</t>
  </si>
  <si>
    <t>Asset Class</t>
  </si>
  <si>
    <t>Allocation</t>
  </si>
  <si>
    <t>Expected Return</t>
  </si>
  <si>
    <t>Provincial bonds</t>
  </si>
  <si>
    <t>Corporate bonds</t>
  </si>
  <si>
    <t>High yield bonds</t>
  </si>
  <si>
    <t>Private debt</t>
  </si>
  <si>
    <t>Standard deviation of asset returns</t>
  </si>
  <si>
    <t xml:space="preserve">Recommend which one of the 3 proposed portfolios should be implemented by ABC.   Justify your response. </t>
  </si>
  <si>
    <t>Response for part (c) is to be provided in the Word document.</t>
  </si>
  <si>
    <t xml:space="preserve">Your company is buying a block of insurance business. </t>
  </si>
  <si>
    <t xml:space="preserve">(a) (4 points)  Describe the treatment for each of the following items under Market Consistent Embedded Value (MCEV),  </t>
  </si>
  <si>
    <t>fulfilment value (IFRS 17) and fair value (IFRS 13) by completing the table below:</t>
  </si>
  <si>
    <t>Market Consistent Embedded Value</t>
  </si>
  <si>
    <t>Fulfillment Value (IFRS17)</t>
  </si>
  <si>
    <t>Fair Value (IFRS 13)</t>
  </si>
  <si>
    <t>Future Renewal of In-force Business</t>
  </si>
  <si>
    <t>Future New Business</t>
  </si>
  <si>
    <t>Expense Assumption</t>
  </si>
  <si>
    <t>Profit Emergence</t>
  </si>
  <si>
    <t>Response for parts (b) (i) and (ii) are to be provided in this tab.</t>
  </si>
  <si>
    <t>(b) (4 points) Using the financial information for the block of business given :</t>
  </si>
  <si>
    <t xml:space="preserve">Inforce + New business projected to be written expected </t>
  </si>
  <si>
    <t>US GAAP Accounting Basis:</t>
  </si>
  <si>
    <t>(in $millions)</t>
  </si>
  <si>
    <t>Expenses</t>
  </si>
  <si>
    <t>Commissions</t>
  </si>
  <si>
    <t>Taxes</t>
  </si>
  <si>
    <t>Reserve</t>
  </si>
  <si>
    <t>Required Capital</t>
  </si>
  <si>
    <t>Statutory Basis:</t>
  </si>
  <si>
    <t xml:space="preserve">New business projected to be written expected </t>
  </si>
  <si>
    <t>For NB projected, assume US GAAP Accounting Basis = Statutory Basis</t>
  </si>
  <si>
    <t>CF timing</t>
  </si>
  <si>
    <t>End of year</t>
  </si>
  <si>
    <t>(i) Calculate the actuarial appraisal value. Show all work.</t>
  </si>
  <si>
    <t>(ii) Calculate embedded value. Show all work.</t>
  </si>
  <si>
    <t>QUESTION 7</t>
  </si>
  <si>
    <t>Responses for parts (a) and (b) (ii) are to be provided in the Word document.</t>
  </si>
  <si>
    <t xml:space="preserve">(b) You are given the following information for a potential 50% coinsurance arrangement. </t>
  </si>
  <si>
    <t>Assume the net risk adjustment is calculated and apportioned between the direct and ceded amounts on the basis of the amount insured.</t>
  </si>
  <si>
    <t>(i) (3 points)  Complete the following chart:</t>
  </si>
  <si>
    <t>Direct</t>
  </si>
  <si>
    <t>Ceded</t>
  </si>
  <si>
    <t>Net</t>
  </si>
  <si>
    <t>PV Premium</t>
  </si>
  <si>
    <t>Best estimate liability</t>
  </si>
  <si>
    <t>CSM before reinsurance offset</t>
  </si>
  <si>
    <t>Reinsurance offset (Loss Recovery Component)</t>
  </si>
  <si>
    <t>CSM after reinsurance offset</t>
  </si>
  <si>
    <t>CSM after zero floor</t>
  </si>
  <si>
    <t>QUESTION 9</t>
  </si>
  <si>
    <t>Responses for parts (a), (b) are to be provided in the Word document.</t>
  </si>
  <si>
    <t>XYZ Life previously sold only lapse supported whole life insurance and acquired a block of lapse sensitive term life insurance in 2024.</t>
  </si>
  <si>
    <t>(c) (3 points) Premium data, required capital components and capital factors are given:</t>
  </si>
  <si>
    <t>XYZ</t>
  </si>
  <si>
    <t>Company B</t>
  </si>
  <si>
    <t>2023 values</t>
  </si>
  <si>
    <t>Direct Premiums Received</t>
  </si>
  <si>
    <t>Individual Whole Life</t>
  </si>
  <si>
    <t>Group Whole Life</t>
  </si>
  <si>
    <t>Required Capital Components</t>
  </si>
  <si>
    <t>Market Risk</t>
  </si>
  <si>
    <t>Credit Risk</t>
  </si>
  <si>
    <t>Insurance Risk</t>
  </si>
  <si>
    <t>Diversification Credits</t>
  </si>
  <si>
    <t>2024 values</t>
  </si>
  <si>
    <t>Term Life (Acquired from Company B)</t>
  </si>
  <si>
    <t>Factor</t>
  </si>
  <si>
    <t>Business volume required capital for direct premiums received</t>
  </si>
  <si>
    <t>Genreal Required Capital for Credit, Insurance and Market Risks</t>
  </si>
  <si>
    <t>Calculate the Total Operational Risk Capital for XYZ as of December 31, 2024.  Show all work.</t>
  </si>
  <si>
    <t>Model Solution:</t>
  </si>
  <si>
    <t>(1) Statement Value of Assets</t>
  </si>
  <si>
    <t>(2) Negative of the Statement Value of Assets = -1 * 1</t>
  </si>
  <si>
    <t>(3) One-Year Treasury Rate (BOY)</t>
  </si>
  <si>
    <t>(4) Treasury Rate x 105%</t>
  </si>
  <si>
    <t>1/( 1 + (4) )</t>
  </si>
  <si>
    <t>(5) Cumulative Discount Factor</t>
  </si>
  <si>
    <t>(6) Discounted Negative Accumulated Deficiency</t>
  </si>
  <si>
    <t>(7) GPVAD</t>
  </si>
  <si>
    <t>Scenario Reserve (Asset + GPVAD)</t>
  </si>
  <si>
    <t>QUESTION 3 (b) (i)</t>
  </si>
  <si>
    <t>(b) You are given the following about DJS, a Canadian life insurance company:</t>
  </si>
  <si>
    <t>WACC</t>
  </si>
  <si>
    <t>Total Capital</t>
  </si>
  <si>
    <t>Average Capital at t</t>
  </si>
  <si>
    <t>Wacc</t>
  </si>
  <si>
    <t>a*b at t</t>
  </si>
  <si>
    <t>vt</t>
  </si>
  <si>
    <t>c*d</t>
  </si>
  <si>
    <t>Summation</t>
  </si>
  <si>
    <t>DCF</t>
  </si>
  <si>
    <t>PV of DCF = Appraisal value</t>
  </si>
  <si>
    <t>NB CF</t>
  </si>
  <si>
    <t>PV of DCF = NB</t>
  </si>
  <si>
    <t>EV</t>
  </si>
  <si>
    <t>Question 1, part d</t>
  </si>
  <si>
    <r>
      <rPr>
        <sz val="7"/>
        <color theme="1"/>
        <rFont val="Times New Roman"/>
        <family val="1"/>
      </rPr>
      <t xml:space="preserve"> </t>
    </r>
    <r>
      <rPr>
        <sz val="12"/>
        <color theme="1"/>
        <rFont val="Times New Roman"/>
        <family val="1"/>
      </rPr>
      <t>You are given the following information for a different block of participating policies:</t>
    </r>
  </si>
  <si>
    <r>
      <t>·</t>
    </r>
    <r>
      <rPr>
        <sz val="7"/>
        <color theme="1"/>
        <rFont val="Times New Roman"/>
        <family val="1"/>
      </rPr>
      <t xml:space="preserve">       </t>
    </r>
    <r>
      <rPr>
        <sz val="12"/>
        <color theme="1"/>
        <rFont val="Times New Roman"/>
        <family val="1"/>
      </rPr>
      <t>The Risk Mitigation Option is not applied</t>
    </r>
  </si>
  <si>
    <r>
      <t>·</t>
    </r>
    <r>
      <rPr>
        <sz val="7"/>
        <color theme="1"/>
        <rFont val="Times New Roman"/>
        <family val="1"/>
      </rPr>
      <t xml:space="preserve">       </t>
    </r>
    <r>
      <rPr>
        <sz val="12"/>
        <color theme="1"/>
        <rFont val="Times New Roman"/>
        <family val="1"/>
      </rPr>
      <t>All assets are part of the underlying items</t>
    </r>
  </si>
  <si>
    <r>
      <t>·</t>
    </r>
    <r>
      <rPr>
        <sz val="7"/>
        <color theme="1"/>
        <rFont val="Times New Roman"/>
        <family val="1"/>
      </rPr>
      <t xml:space="preserve">       </t>
    </r>
    <r>
      <rPr>
        <sz val="12"/>
        <color theme="1"/>
        <rFont val="Times New Roman"/>
        <family val="1"/>
      </rPr>
      <t xml:space="preserve">The VFA measurement model is used </t>
    </r>
  </si>
  <si>
    <t xml:space="preserve">Determine the CSM at the end of each period. Show your work.   </t>
  </si>
  <si>
    <t>Movement of Current Estimate</t>
  </si>
  <si>
    <t>+ Premium</t>
  </si>
  <si>
    <t>+ Required Interest</t>
  </si>
  <si>
    <t>- Benefits (EoP)</t>
  </si>
  <si>
    <t>- Dividends (EoP)</t>
  </si>
  <si>
    <t>End of Period</t>
  </si>
  <si>
    <t>Movement of Entity's Share</t>
  </si>
  <si>
    <t>- Expected Release (EoP)</t>
  </si>
  <si>
    <t>Movement in Risk Adjustment</t>
  </si>
  <si>
    <t>Movement in CoG</t>
  </si>
  <si>
    <t>CSM Amortization</t>
  </si>
  <si>
    <t>\</t>
  </si>
  <si>
    <t>Question 5</t>
  </si>
  <si>
    <t>(b) 4 points A Bermuda based reinsurance company is providing quotes to a US based insurance company seeking reinsurance coverage for a closed block of business. 
Assume the following:
•	The required capital is a constant ratio of BEL throughout the projection period. 
•	The risk margin is based on non-market risk.
(i)	(2 points)  Calculate the required capital at time 0. Show all work.
(ii)	(2 points)  Calculate the technical provision at time 0. Show all work.</t>
  </si>
  <si>
    <t>BSCR capital</t>
  </si>
  <si>
    <t>Time 0</t>
  </si>
  <si>
    <t>Correlation</t>
  </si>
  <si>
    <r>
      <t>C</t>
    </r>
    <r>
      <rPr>
        <vertAlign val="subscript"/>
        <sz val="11"/>
        <color rgb="FF000000"/>
        <rFont val="Times New Roman"/>
        <family val="1"/>
      </rPr>
      <t>Market</t>
    </r>
  </si>
  <si>
    <r>
      <t>C</t>
    </r>
    <r>
      <rPr>
        <vertAlign val="subscript"/>
        <sz val="11"/>
        <color rgb="FF000000"/>
        <rFont val="Times New Roman"/>
        <family val="1"/>
      </rPr>
      <t>P&amp;C</t>
    </r>
  </si>
  <si>
    <r>
      <t>C</t>
    </r>
    <r>
      <rPr>
        <vertAlign val="subscript"/>
        <sz val="11"/>
        <color rgb="FF000000"/>
        <rFont val="Times New Roman"/>
        <family val="1"/>
      </rPr>
      <t>LT</t>
    </r>
  </si>
  <si>
    <r>
      <t>C</t>
    </r>
    <r>
      <rPr>
        <vertAlign val="subscript"/>
        <sz val="11"/>
        <color rgb="FF000000"/>
        <rFont val="Times New Roman"/>
        <family val="1"/>
      </rPr>
      <t>Credit</t>
    </r>
  </si>
  <si>
    <r>
      <t>C</t>
    </r>
    <r>
      <rPr>
        <vertAlign val="subscript"/>
        <sz val="12"/>
        <color rgb="FF000000"/>
        <rFont val="Times New Roman"/>
        <family val="1"/>
      </rPr>
      <t>Market</t>
    </r>
  </si>
  <si>
    <r>
      <t>C</t>
    </r>
    <r>
      <rPr>
        <vertAlign val="subscript"/>
        <sz val="12"/>
        <color rgb="FF000000"/>
        <rFont val="Times New Roman"/>
        <family val="1"/>
      </rPr>
      <t>P&amp;C</t>
    </r>
  </si>
  <si>
    <r>
      <t>C</t>
    </r>
    <r>
      <rPr>
        <vertAlign val="subscript"/>
        <sz val="12"/>
        <color rgb="FF000000"/>
        <rFont val="Times New Roman"/>
        <family val="1"/>
      </rPr>
      <t>LT</t>
    </r>
  </si>
  <si>
    <r>
      <t>C</t>
    </r>
    <r>
      <rPr>
        <vertAlign val="subscript"/>
        <sz val="12"/>
        <color rgb="FF000000"/>
        <rFont val="Times New Roman"/>
        <family val="1"/>
      </rPr>
      <t>Credit</t>
    </r>
  </si>
  <si>
    <t>Operational risk charge (%)</t>
  </si>
  <si>
    <t>Loss absorbing capacity adjustment</t>
  </si>
  <si>
    <t>Best Estimate Liability (BEL)</t>
  </si>
  <si>
    <t>Market risk free rate</t>
  </si>
  <si>
    <t>Target Capital ratio (BSCR)</t>
  </si>
  <si>
    <t>Question 6, Part (c)</t>
  </si>
  <si>
    <t>Calculate the Fair Value CSM at acquisition under the Adjusted Fulfillment Cash Flow approach for the UL block using the information in the excel spreadsheet. Show all work.</t>
  </si>
  <si>
    <t>Company's financial position:</t>
  </si>
  <si>
    <t>Equity (as % of total assets)</t>
  </si>
  <si>
    <t>Debt (as % of total assets)</t>
  </si>
  <si>
    <t>IFRS 17 discount rate</t>
  </si>
  <si>
    <t xml:space="preserve">Own credit risk </t>
  </si>
  <si>
    <t>Hurdle rate</t>
  </si>
  <si>
    <t>Cost of equity</t>
  </si>
  <si>
    <t>Cost of debt</t>
  </si>
  <si>
    <t>For Capital:</t>
  </si>
  <si>
    <t>Total Insurance, Operational, Interest rate risk capital requirement (% of PV of Best estimate liability CF)</t>
  </si>
  <si>
    <t>Diversification credit (% of PV of FCF)</t>
  </si>
  <si>
    <t>Target capital ratio (% of PV of FCF)</t>
  </si>
  <si>
    <t>For cash flows:</t>
  </si>
  <si>
    <t>IFRS 17 best estimate liability cash flows/year (for 10 years)</t>
  </si>
  <si>
    <t>per year for 10 years</t>
  </si>
  <si>
    <t xml:space="preserve">IFRS 17 risk adjument </t>
  </si>
  <si>
    <t>of the PV of best-estimate CFs</t>
  </si>
  <si>
    <t>Non-Directly Attributable expense (% of best estimate liability CF)</t>
  </si>
  <si>
    <t>Question 7</t>
  </si>
  <si>
    <t xml:space="preserve">QRS Life has a portfolio of segregated fund contracts. </t>
  </si>
  <si>
    <r>
      <t>QRS employs a static hedging strategy to reduce its exposure to unfavourable movement in the market. The hedging effectiveness is 95% .</t>
    </r>
    <r>
      <rPr>
        <sz val="8"/>
        <color theme="1"/>
        <rFont val="Times New Roman"/>
        <family val="1"/>
      </rPr>
      <t>   </t>
    </r>
    <r>
      <rPr>
        <sz val="12"/>
        <color theme="1"/>
        <rFont val="Times New Roman"/>
        <family val="1"/>
      </rPr>
      <t xml:space="preserve"> </t>
    </r>
  </si>
  <si>
    <t xml:space="preserve">Under IFRS17, these segregated fund contracts meet the definition of an insurance contract with direct participation features. </t>
  </si>
  <si>
    <r>
      <t>·</t>
    </r>
    <r>
      <rPr>
        <sz val="7"/>
        <color theme="1"/>
        <rFont val="Times New Roman"/>
        <family val="1"/>
      </rPr>
      <t xml:space="preserve">       </t>
    </r>
    <r>
      <rPr>
        <sz val="12"/>
        <color theme="1"/>
        <rFont val="Times New Roman"/>
        <family val="1"/>
      </rPr>
      <t>BEL:</t>
    </r>
  </si>
  <si>
    <r>
      <t>·</t>
    </r>
    <r>
      <rPr>
        <sz val="7"/>
        <color theme="1"/>
        <rFont val="Times New Roman"/>
        <family val="1"/>
      </rPr>
      <t xml:space="preserve">       </t>
    </r>
    <r>
      <rPr>
        <sz val="12"/>
        <color theme="1"/>
        <rFont val="Times New Roman"/>
        <family val="1"/>
      </rPr>
      <t>RA:</t>
    </r>
  </si>
  <si>
    <r>
      <t>·</t>
    </r>
    <r>
      <rPr>
        <sz val="7"/>
        <color theme="1"/>
        <rFont val="Times New Roman"/>
        <family val="1"/>
      </rPr>
      <t xml:space="preserve">       </t>
    </r>
    <r>
      <rPr>
        <sz val="12"/>
        <color theme="1"/>
        <rFont val="Times New Roman"/>
        <family val="1"/>
      </rPr>
      <t xml:space="preserve">CSM: </t>
    </r>
  </si>
  <si>
    <t>(a)  (1 Point) You are given:</t>
  </si>
  <si>
    <r>
      <t>·</t>
    </r>
    <r>
      <rPr>
        <sz val="7"/>
        <color theme="1"/>
        <rFont val="Times New Roman"/>
        <family val="1"/>
      </rPr>
      <t xml:space="preserve">       </t>
    </r>
    <r>
      <rPr>
        <sz val="12"/>
        <color theme="1"/>
        <rFont val="Times New Roman"/>
        <family val="1"/>
      </rPr>
      <t xml:space="preserve">OSFI has not approved QRS’ hedging program for LICAT purposes. </t>
    </r>
  </si>
  <si>
    <r>
      <t>·</t>
    </r>
    <r>
      <rPr>
        <sz val="7"/>
        <color theme="1"/>
        <rFont val="Times New Roman"/>
        <family val="1"/>
      </rPr>
      <t xml:space="preserve">       </t>
    </r>
    <r>
      <rPr>
        <sz val="12"/>
        <color theme="1"/>
        <rFont val="Times New Roman"/>
        <family val="1"/>
      </rPr>
      <t>LICAT Total Gross Calculated Requirement (TGCR) = 26</t>
    </r>
  </si>
  <si>
    <t xml:space="preserve">Calculate the segregated fund Net Required Component at the supervisory level under the Base scenario. Show all work. </t>
  </si>
  <si>
    <r>
      <rPr>
        <sz val="14"/>
        <color theme="1"/>
        <rFont val="Times New Roman"/>
        <family val="1"/>
      </rPr>
      <t>(b)   (7 points)  </t>
    </r>
    <r>
      <rPr>
        <sz val="7"/>
        <color theme="1"/>
        <rFont val="Times New Roman"/>
        <family val="1"/>
      </rPr>
      <t xml:space="preserve">      </t>
    </r>
    <r>
      <rPr>
        <sz val="12"/>
        <color theme="1"/>
        <rFont val="Times New Roman"/>
        <family val="1"/>
      </rPr>
      <t>Before a price shock, the value of the hedging derivatives is 0. The fulfilment cash flows (FCF) and derivative values after equity price shock are given by:</t>
    </r>
  </si>
  <si>
    <r>
      <t>·</t>
    </r>
    <r>
      <rPr>
        <sz val="7"/>
        <color theme="1"/>
        <rFont val="Times New Roman"/>
        <family val="1"/>
      </rPr>
      <t xml:space="preserve">       </t>
    </r>
    <r>
      <rPr>
        <sz val="12"/>
        <color theme="1"/>
        <rFont val="Times New Roman"/>
        <family val="1"/>
      </rPr>
      <t xml:space="preserve">FCF = -410p/35  + 5 </t>
    </r>
  </si>
  <si>
    <r>
      <t>·</t>
    </r>
    <r>
      <rPr>
        <sz val="7"/>
        <color theme="1"/>
        <rFont val="Times New Roman"/>
        <family val="1"/>
      </rPr>
      <t xml:space="preserve">       </t>
    </r>
    <r>
      <rPr>
        <sz val="12"/>
        <color theme="1"/>
        <rFont val="Times New Roman"/>
        <family val="1"/>
      </rPr>
      <t>Derivatives value = -12p</t>
    </r>
  </si>
  <si>
    <t xml:space="preserve">Where p = price shock </t>
  </si>
  <si>
    <t>Calculate the contractual service margin after a -35% price shock (p = - 0.35)</t>
  </si>
  <si>
    <r>
      <t>(i)</t>
    </r>
    <r>
      <rPr>
        <sz val="7"/>
        <color theme="1"/>
        <rFont val="Times New Roman"/>
        <family val="1"/>
      </rPr>
      <t xml:space="preserve">              </t>
    </r>
    <r>
      <rPr>
        <sz val="12"/>
        <color theme="1"/>
        <rFont val="Times New Roman"/>
        <family val="1"/>
      </rPr>
      <t>without the use of the risk mitigation exception</t>
    </r>
  </si>
  <si>
    <r>
      <t>(ii)</t>
    </r>
    <r>
      <rPr>
        <sz val="7"/>
        <color theme="1"/>
        <rFont val="Times New Roman"/>
        <family val="1"/>
      </rPr>
      <t xml:space="preserve">            </t>
    </r>
    <r>
      <rPr>
        <sz val="12"/>
        <color theme="1"/>
        <rFont val="Times New Roman"/>
        <family val="1"/>
      </rPr>
      <t>with the use of the risk mitigation exception, with hedge ineffectiveness reflected in CSM</t>
    </r>
  </si>
  <si>
    <r>
      <t>(iii)</t>
    </r>
    <r>
      <rPr>
        <sz val="7"/>
        <color theme="1"/>
        <rFont val="Times New Roman"/>
        <family val="1"/>
      </rPr>
      <t xml:space="preserve">          </t>
    </r>
    <r>
      <rPr>
        <sz val="12"/>
        <color theme="1"/>
        <rFont val="Times New Roman"/>
        <family val="1"/>
      </rPr>
      <t>with the use of the risk mitigation exception, with hedge ineffectiveness reflected in Profit/Loss</t>
    </r>
  </si>
  <si>
    <t>Question 8, part (b) (3 points)</t>
  </si>
  <si>
    <t>ABC Life is acquiring XYZ Life. XYZ has the following financial information:</t>
  </si>
  <si>
    <t>Capital and Surplus</t>
  </si>
  <si>
    <t>Asset Valuation Reserve</t>
  </si>
  <si>
    <t>Interest Maintenance Reserve (undiscounted)</t>
  </si>
  <si>
    <t>Interest Maintenance Reserve (discounted)</t>
  </si>
  <si>
    <t>Book Value of Assets</t>
  </si>
  <si>
    <t>Market Value of Assets</t>
  </si>
  <si>
    <t>Value of Inforce business</t>
  </si>
  <si>
    <t>Value of Future Business</t>
  </si>
  <si>
    <t>Intrinsic Value of Brand Name</t>
  </si>
  <si>
    <r>
      <t>(i)</t>
    </r>
    <r>
      <rPr>
        <sz val="7"/>
        <color theme="1"/>
        <rFont val="Times New Roman"/>
        <family val="1"/>
      </rPr>
      <t xml:space="preserve">              </t>
    </r>
    <r>
      <rPr>
        <sz val="12"/>
        <color theme="1"/>
        <rFont val="Times New Roman"/>
        <family val="1"/>
      </rPr>
      <t>Adjusted Book Value</t>
    </r>
  </si>
  <si>
    <r>
      <t>(ii)</t>
    </r>
    <r>
      <rPr>
        <sz val="7"/>
        <color theme="1"/>
        <rFont val="Times New Roman"/>
        <family val="1"/>
      </rPr>
      <t xml:space="preserve">            </t>
    </r>
    <r>
      <rPr>
        <sz val="12"/>
        <color theme="1"/>
        <rFont val="Times New Roman"/>
        <family val="1"/>
      </rPr>
      <t>Embedded Value</t>
    </r>
  </si>
  <si>
    <r>
      <t>(iii)</t>
    </r>
    <r>
      <rPr>
        <sz val="7"/>
        <color theme="1"/>
        <rFont val="Times New Roman"/>
        <family val="1"/>
      </rPr>
      <t xml:space="preserve">          </t>
    </r>
    <r>
      <rPr>
        <sz val="12"/>
        <color theme="1"/>
        <rFont val="Times New Roman"/>
        <family val="1"/>
      </rPr>
      <t>Actuarial Appraisal Value</t>
    </r>
  </si>
  <si>
    <r>
      <t>(iv)</t>
    </r>
    <r>
      <rPr>
        <sz val="7"/>
        <color theme="1"/>
        <rFont val="Times New Roman"/>
        <family val="1"/>
      </rPr>
      <t xml:space="preserve">           </t>
    </r>
    <r>
      <rPr>
        <sz val="12"/>
        <color theme="1"/>
        <rFont val="Times New Roman"/>
        <family val="1"/>
      </rPr>
      <t>Total Company Value</t>
    </r>
  </si>
  <si>
    <t>Question 9, Part c (2 points)</t>
  </si>
  <si>
    <t>Determine the amount of taxable income attributable to the policyholder on surrender for the following UL policy issued on January 1, 2020 and surrendered on December 31, 2022. Show all work.</t>
  </si>
  <si>
    <t>Fund Value at EOY</t>
  </si>
  <si>
    <t>Surrender Charge</t>
  </si>
  <si>
    <r>
      <t>(b)</t>
    </r>
    <r>
      <rPr>
        <strike/>
        <sz val="7"/>
        <color theme="1"/>
        <rFont val="Times New Roman"/>
        <family val="1"/>
      </rPr>
      <t xml:space="preserve">   </t>
    </r>
    <r>
      <rPr>
        <strike/>
        <sz val="12"/>
        <color theme="1"/>
        <rFont val="Times New Roman"/>
        <family val="1"/>
      </rPr>
      <t>(</t>
    </r>
    <r>
      <rPr>
        <i/>
        <strike/>
        <sz val="12"/>
        <color theme="1"/>
        <rFont val="Times New Roman"/>
        <family val="1"/>
      </rPr>
      <t>1 point</t>
    </r>
    <r>
      <rPr>
        <strike/>
        <sz val="12"/>
        <color theme="1"/>
        <rFont val="Times New Roman"/>
        <family val="1"/>
      </rPr>
      <t>)  A policyholder purchases a payout annuity for 10,000. You are given the following information as of the first anniversary:</t>
    </r>
  </si>
  <si>
    <r>
      <t>c)</t>
    </r>
    <r>
      <rPr>
        <strike/>
        <sz val="7"/>
        <color theme="1"/>
        <rFont val="Times New Roman"/>
        <family val="1"/>
      </rPr>
      <t xml:space="preserve">     </t>
    </r>
    <r>
      <rPr>
        <strike/>
        <sz val="12"/>
        <color theme="1"/>
        <rFont val="Times New Roman"/>
        <family val="1"/>
      </rPr>
      <t>(</t>
    </r>
    <r>
      <rPr>
        <i/>
        <strike/>
        <sz val="12"/>
        <color theme="1"/>
        <rFont val="Times New Roman"/>
        <family val="1"/>
      </rPr>
      <t>1 point</t>
    </r>
    <r>
      <rPr>
        <strike/>
        <sz val="12"/>
        <color theme="1"/>
        <rFont val="Times New Roman"/>
        <family val="1"/>
      </rPr>
      <t>)  You are given the following for a 5-year prescribed annuity certain contract:</t>
    </r>
  </si>
  <si>
    <r>
      <rPr>
        <strike/>
        <sz val="7"/>
        <color theme="1"/>
        <rFont val="Times New Roman"/>
        <family val="1"/>
      </rPr>
      <t xml:space="preserve">   </t>
    </r>
    <r>
      <rPr>
        <strike/>
        <sz val="12"/>
        <color theme="1"/>
        <rFont val="Times New Roman"/>
        <family val="1"/>
      </rPr>
      <t>Purchase price =</t>
    </r>
  </si>
  <si>
    <r>
      <rPr>
        <strike/>
        <sz val="7"/>
        <color theme="1"/>
        <rFont val="Times New Roman"/>
        <family val="1"/>
      </rPr>
      <t xml:space="preserve">   </t>
    </r>
    <r>
      <rPr>
        <strike/>
        <sz val="12"/>
        <color theme="1"/>
        <rFont val="Times New Roman"/>
        <family val="1"/>
      </rPr>
      <t>Monthly income =</t>
    </r>
  </si>
  <si>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</si>
  <si>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</si>
  <si>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</si>
  <si>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</si>
  <si>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</si>
  <si>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</si>
  <si>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</si>
  <si>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</si>
  <si>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</si>
  <si>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</si>
  <si>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ILA 201-I - Valuation and Advanced Product and Risk Management, Intl.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</si>
</sst>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_-* #,##0.00_-;\-* #,##0.00_-;_-* &quot;-&quot;??_-;_-@_-"/>
    <numFmt numFmtId="165" formatCode="0.0%"/>
    <numFmt numFmtId="166" formatCode="0.000%"/>
    <numFmt numFmtId="167" formatCode="0.0000"/>
    <numFmt numFmtId="168" formatCode="_(* #,##0.0_);_(* \(#,##0.0\);_(* &quot;-&quot;??_);_(@_)"/>
    <numFmt numFmtId="169" formatCode="_(* #,##0_);_(* \(#,##0\);_(* &quot;-&quot;??_);_(@_)"/>
    <numFmt numFmtId="170" formatCode="_(* #,##0.0_);_(* \(#,##0.0\);_(* &quot;-&quot;?_);_(@_)"/>
    <numFmt numFmtId="171" formatCode="0.000"/>
    <numFmt numFmtId="172" formatCode="#,##0.0;\-#,##0.0"/>
    <numFmt numFmtId="173" formatCode="#,##0.0_);\(#,##0.0\)"/>
    <numFmt numFmtId="174" formatCode="#,##0.000_);\(#,##0.000\)"/>
    <numFmt numFmtId="175" formatCode="_-* #,##0.0000_-;\-* #,##0.0000_-;_-* &quot;-&quot;??_-;_-@_-"/>
    <numFmt numFmtId="176" formatCode="_-* #,##0_-;\-* #,##0_-;_-* &quot;-&quot;??_-;_-@_-"/>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10"/>
      <name val="Times New Roman"/>
      <family val="1"/>
    </font>
    <font>
      <sz val="10"/>
      <name val="Arial"/>
      <family val="2"/>
    </font>
    <font>
      <sz val="10"/>
      <name val="Arial"/>
      <family val="2"/>
    </font>
    <font>
      <sz val="10"/>
      <name val="Arial"/>
      <family val="2"/>
    </font>
    <font>
      <i/>
      <sz val="12"/>
      <color theme="1"/>
      <name val="Times New Roman"/>
      <family val="1"/>
    </font>
    <font>
      <sz val="11"/>
      <color theme="1"/>
      <name val="Times New Roman"/>
      <family val="1"/>
    </font>
    <font>
      <sz val="12"/>
      <color theme="1"/>
      <name val="Times New Roman"/>
      <family val="1"/>
    </font>
    <font>
      <sz val="11"/>
      <color indexed="8"/>
      <name val="Calibri"/>
      <family val="2"/>
      <scheme val="minor"/>
    </font>
    <font>
      <i/>
      <sz val="11"/>
      <color theme="1"/>
      <name val="Calibri"/>
      <family val="2"/>
      <scheme val="minor"/>
    </font>
    <font>
      <sz val="10"/>
      <color theme="1"/>
      <name val="Trebuchet"/>
      <family val="2"/>
    </font>
    <font>
      <b/>
      <sz val="10"/>
      <name val="Arial"/>
      <family val="2"/>
    </font>
    <font>
      <i/>
      <sz val="12"/>
      <color theme="1"/>
      <name val="Calibri"/>
      <family val="2"/>
      <scheme val="minor"/>
    </font>
    <font>
      <b/>
      <sz val="14"/>
      <color rgb="FF002060"/>
      <name val="Times New Roman"/>
      <family val="1"/>
    </font>
    <font>
      <b/>
      <sz val="12"/>
      <color rgb="FF002060"/>
      <name val="Times New Roman"/>
      <family val="1"/>
    </font>
    <font>
      <i/>
      <sz val="12"/>
      <color rgb="FF002060"/>
      <name val="Times New Roman"/>
      <family val="1"/>
    </font>
    <font>
      <sz val="12"/>
      <color rgb="FF002060"/>
      <name val="Times New Roman"/>
      <family val="1"/>
    </font>
    <font>
      <sz val="7"/>
      <color rgb="FF002060"/>
      <name val="Times New Roman"/>
      <family val="1"/>
    </font>
    <font>
      <sz val="11"/>
      <color rgb="FF002060"/>
      <name val="Calibri"/>
      <family val="2"/>
      <scheme val="minor"/>
    </font>
    <font>
      <sz val="12"/>
      <color theme="1"/>
      <name val="Calibri"/>
      <family val="2"/>
      <scheme val="minor"/>
    </font>
    <font>
      <sz val="12"/>
      <color rgb="FF002060"/>
      <name val="Symbol"/>
      <family val="1"/>
      <charset val="2"/>
    </font>
    <font>
      <sz val="12"/>
      <color rgb="FF000000"/>
      <name val="Times New Roman"/>
      <family val="1"/>
    </font>
    <font>
      <b/>
      <sz val="12"/>
      <color rgb="FF000000"/>
      <name val="Times New Roman"/>
      <family val="1"/>
    </font>
    <font>
      <sz val="8"/>
      <color theme="1"/>
      <name val="Times New Roman"/>
      <family val="1"/>
    </font>
    <font>
      <sz val="12"/>
      <name val="Times New Roman"/>
      <family val="1"/>
    </font>
    <font>
      <sz val="7"/>
      <color theme="1"/>
      <name val="Times New Roman"/>
      <family val="1"/>
    </font>
    <font>
      <b/>
      <sz val="12"/>
      <name val="Times New Roman"/>
      <family val="1"/>
    </font>
    <font>
      <b/>
      <sz val="12"/>
      <color theme="1"/>
      <name val="Times New Roman"/>
      <family val="1"/>
    </font>
    <font>
      <sz val="12"/>
      <color theme="1"/>
      <name val="Symbol"/>
      <family val="1"/>
      <charset val="2"/>
    </font>
    <font>
      <sz val="11"/>
      <color rgb="FF000000"/>
      <name val="Times New Roman"/>
      <family val="1"/>
    </font>
    <font>
      <sz val="11"/>
      <color theme="1"/>
      <name val="SwissReSans"/>
      <family val="2"/>
    </font>
    <font>
      <b/>
      <sz val="12"/>
      <color rgb="FF000000"/>
      <name val="Calibri"/>
      <family val="2"/>
    </font>
    <font>
      <sz val="12"/>
      <color rgb="FF000000"/>
      <name val="Calibri"/>
      <family val="2"/>
    </font>
    <font>
      <b/>
      <vertAlign val="superscript"/>
      <sz val="12"/>
      <color theme="1"/>
      <name val="Times New Roman"/>
      <family val="1"/>
    </font>
    <font>
      <i/>
      <sz val="11"/>
      <color theme="1"/>
      <name val="Times New Roman"/>
      <family val="1"/>
    </font>
    <font>
      <i/>
      <sz val="7"/>
      <color rgb="FFFF0000"/>
      <name val="Times New Roman"/>
      <family val="1"/>
    </font>
    <font>
      <sz val="7"/>
      <name val="Times New Roman"/>
      <family val="1"/>
    </font>
    <font>
      <i/>
      <sz val="12"/>
      <color rgb="FFFF0000"/>
      <name val="Times New Roman"/>
      <family val="1"/>
    </font>
    <font>
      <sz val="7"/>
      <color rgb="FFFF0000"/>
      <name val="Times New Roman"/>
      <family val="1"/>
    </font>
    <font>
      <sz val="7"/>
      <color rgb="FF000000"/>
      <name val="Times New Roman"/>
      <family val="1"/>
    </font>
    <font>
      <b/>
      <sz val="12"/>
      <color theme="4" tint="-0.499984740745262"/>
      <name val="Times New Roman"/>
      <family val="1"/>
    </font>
    <font>
      <sz val="12"/>
      <color theme="4" tint="-0.499984740745262"/>
      <name val="Times New Roman"/>
      <family val="1"/>
    </font>
    <font>
      <sz val="7"/>
      <color theme="4" tint="-0.499984740745262"/>
      <name val="Times New Roman"/>
      <family val="1"/>
    </font>
    <font>
      <i/>
      <sz val="12"/>
      <color theme="4" tint="-0.499984740745262"/>
      <name val="Times New Roman"/>
      <family val="1"/>
    </font>
    <font>
      <sz val="11"/>
      <color rgb="FF002060"/>
      <name val="Times New Roman"/>
      <family val="1"/>
    </font>
    <font>
      <sz val="11"/>
      <color theme="4" tint="-0.499984740745262"/>
      <name val="Times New Roman"/>
      <family val="1"/>
    </font>
    <font>
      <b/>
      <sz val="11"/>
      <color theme="4" tint="-0.499984740745262"/>
      <name val="Times New Roman"/>
      <family val="1"/>
    </font>
    <font>
      <sz val="12"/>
      <color theme="4" tint="-0.499984740745262"/>
      <name val="Symbol"/>
      <family val="1"/>
      <charset val="2"/>
    </font>
    <font>
      <b/>
      <sz val="11"/>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vertAlign val="superscript"/>
      <sz val="12"/>
      <color theme="1"/>
      <name val="Times New Roman"/>
      <family val="1"/>
    </font>
    <font>
      <b/>
      <sz val="11"/>
      <color rgb="FF000000"/>
      <name val="Times New Roman"/>
      <family val="1"/>
    </font>
    <font>
      <sz val="12"/>
      <color theme="1"/>
      <name val="Courier New"/>
      <family val="3"/>
    </font>
    <font>
      <sz val="11"/>
      <name val="Times New Roman"/>
      <family val="1"/>
    </font>
    <font>
      <sz val="11.5"/>
      <color theme="1"/>
      <name val="Times New Roman"/>
      <family val="1"/>
    </font>
    <font>
      <sz val="12"/>
      <name val="Arial"/>
      <family val="2"/>
    </font>
    <font>
      <b/>
      <sz val="12"/>
      <name val="Arial"/>
      <family val="2"/>
    </font>
    <font>
      <i/>
      <sz val="12"/>
      <name val="Times New Roman"/>
      <family val="1"/>
    </font>
    <font>
      <sz val="10"/>
      <color theme="4"/>
      <name val="Arial"/>
      <family val="2"/>
    </font>
    <font>
      <b/>
      <sz val="18"/>
      <color theme="1"/>
      <name val="Times New Roman"/>
      <family val="1"/>
    </font>
    <font>
      <sz val="12"/>
      <color rgb="FFFF0000"/>
      <name val="Times New Roman"/>
      <family val="1"/>
    </font>
    <font>
      <sz val="11"/>
      <color theme="1"/>
      <name val="Calibri"/>
      <family val="2"/>
    </font>
    <font>
      <sz val="11"/>
      <color rgb="FFFF0000"/>
      <name val="Calibri"/>
      <family val="2"/>
      <scheme val="minor"/>
    </font>
    <font>
      <sz val="11"/>
      <color theme="0"/>
      <name val="Calibri"/>
      <family val="2"/>
      <scheme val="minor"/>
    </font>
    <font>
      <sz val="11"/>
      <name val="Calibri"/>
      <family val="2"/>
      <scheme val="minor"/>
    </font>
    <font>
      <b/>
      <sz val="11"/>
      <name val="Calibri"/>
      <family val="2"/>
      <scheme val="minor"/>
    </font>
    <font>
      <sz val="8"/>
      <color theme="1"/>
      <name val="Calibri"/>
      <family val="2"/>
      <scheme val="minor"/>
    </font>
    <font>
      <sz val="11"/>
      <color rgb="FF006100"/>
      <name val="Calibri"/>
      <family val="2"/>
      <scheme val="minor"/>
    </font>
    <font>
      <sz val="11"/>
      <color rgb="FF3366FF"/>
      <name val="Calibri"/>
      <family val="2"/>
      <scheme val="minor"/>
    </font>
    <font>
      <u/>
      <sz val="11"/>
      <color theme="1"/>
      <name val="Calibri"/>
      <family val="2"/>
      <scheme val="minor"/>
    </font>
    <font>
      <b/>
      <sz val="9"/>
      <color indexed="81"/>
      <name val="Tahoma"/>
      <family val="2"/>
    </font>
    <font>
      <sz val="9"/>
      <color indexed="81"/>
      <name val="Tahoma"/>
      <family val="2"/>
    </font>
    <font>
      <b/>
      <i/>
      <sz val="12"/>
      <color theme="1"/>
      <name val="Times New Roman"/>
      <family val="1"/>
    </font>
    <font>
      <b/>
      <u/>
      <sz val="12"/>
      <name val="Times New Roman"/>
      <family val="1"/>
    </font>
    <font>
      <i/>
      <sz val="12"/>
      <color rgb="FF4F81BD"/>
      <name val="Times New Roman"/>
      <family val="1"/>
    </font>
    <font>
      <b/>
      <sz val="11"/>
      <color theme="0"/>
      <name val="Calibri"/>
      <family val="2"/>
      <scheme val="minor"/>
    </font>
    <font>
      <b/>
      <i/>
      <sz val="11"/>
      <color theme="1"/>
      <name val="Calibri"/>
      <family val="2"/>
      <scheme val="minor"/>
    </font>
    <font>
      <b/>
      <sz val="11"/>
      <color rgb="FF00B050"/>
      <name val="Calibri"/>
      <family val="2"/>
      <scheme val="minor"/>
    </font>
    <font>
      <b/>
      <i/>
      <sz val="11"/>
      <color rgb="FF00B050"/>
      <name val="Calibri"/>
      <family val="2"/>
      <scheme val="minor"/>
    </font>
    <font>
      <vertAlign val="subscript"/>
      <sz val="11"/>
      <color rgb="FF000000"/>
      <name val="Times New Roman"/>
      <family val="1"/>
    </font>
    <font>
      <vertAlign val="subscript"/>
      <sz val="12"/>
      <color rgb="FF000000"/>
      <name val="Times New Roman"/>
      <family val="1"/>
    </font>
    <font>
      <b/>
      <sz val="11"/>
      <color theme="1"/>
      <name val="Times New Roman"/>
      <family val="1"/>
    </font>
    <font>
      <b/>
      <sz val="10"/>
      <name val="Times New Roman"/>
      <family val="1"/>
    </font>
    <font>
      <sz val="14"/>
      <color theme="1"/>
      <name val="Times New Roman"/>
      <family val="1"/>
    </font>
    <font>
      <strike/>
      <sz val="12"/>
      <color theme="1"/>
      <name val="Times New Roman"/>
      <family val="1"/>
    </font>
    <font>
      <strike/>
      <sz val="7"/>
      <color theme="1"/>
      <name val="Times New Roman"/>
      <family val="1"/>
    </font>
    <font>
      <i/>
      <strike/>
      <sz val="12"/>
      <color theme="1"/>
      <name val="Times New Roman"/>
      <family val="1"/>
    </font>
    <font>
      <strike/>
      <sz val="11"/>
      <color theme="1"/>
      <name val="Calibri"/>
      <family val="2"/>
      <scheme val="minor"/>
    </font>
    <font>
      <strike/>
      <sz val="11"/>
      <color rgb="FF000000"/>
      <name val="Calibri"/>
      <family val="2"/>
      <scheme val="minor"/>
    </font>
    <font>
      <b/>
      <sz val="26"/>
      <color theme="4"/>
      <name val="Calibri Light"/>
      <family val="2"/>
    </font>
    <font>
      <sz val="11"/>
      <color theme="4"/>
      <name val="Calibri"/>
      <family val="2"/>
      <scheme val="minor"/>
    </font>
    <font>
      <sz val="16"/>
      <color theme="4"/>
      <name val="Cambria"/>
      <family val="2"/>
      <scheme val="major"/>
    </font>
    <font>
      <sz val="11"/>
      <name val="Aptos Narrow"/>
      <family val="2"/>
    </font>
    <font>
      <u/>
      <sz val="11"/>
      <color theme="10"/>
      <name val="Calibri"/>
      <family val="2"/>
      <scheme val="minor"/>
    </font>
    <font>
      <sz val="10"/>
      <color theme="1"/>
      <name val="Calibri"/>
      <family val="2"/>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2"/>
        <bgColor indexed="64"/>
      </patternFill>
    </fill>
    <fill>
      <patternFill patternType="solid">
        <fgColor rgb="FFFFFFFF"/>
        <bgColor indexed="64"/>
      </patternFill>
    </fill>
    <fill>
      <patternFill patternType="solid">
        <fgColor rgb="FFFFFF66"/>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C6EFCE"/>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auto="1"/>
      </top>
      <bottom style="medium">
        <color auto="1"/>
      </bottom>
      <diagonal/>
    </border>
    <border>
      <left/>
      <right style="medium">
        <color indexed="64"/>
      </right>
      <top style="medium">
        <color indexed="64"/>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thin">
        <color auto="1"/>
      </left>
      <right/>
      <top style="thin">
        <color auto="1"/>
      </top>
      <bottom style="thin">
        <color auto="1"/>
      </bottom>
      <diagonal/>
    </border>
    <border>
      <left/>
      <right/>
      <top/>
      <bottom style="thick">
        <color auto="1"/>
      </bottom>
      <diagonal/>
    </border>
    <border>
      <left/>
      <right style="thick">
        <color auto="1"/>
      </right>
      <top/>
      <bottom/>
      <diagonal/>
    </border>
    <border>
      <left style="medium">
        <color rgb="FF999999"/>
      </left>
      <right style="medium">
        <color rgb="FF999999"/>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s>
  <cellStyleXfs count="157">
    <xf numFmtId="0" fontId="0" fillId="0" borderId="0"/>
    <xf numFmtId="0" fontId="32" fillId="0" borderId="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6" fillId="20" borderId="1" applyNumberFormat="0" applyAlignment="0" applyProtection="0"/>
    <xf numFmtId="0" fontId="17" fillId="21" borderId="2" applyNumberFormat="0" applyAlignment="0" applyProtection="0"/>
    <xf numFmtId="0" fontId="17" fillId="21" borderId="2" applyNumberFormat="0" applyAlignment="0" applyProtection="0"/>
    <xf numFmtId="164" fontId="13" fillId="0" borderId="0" applyFont="0" applyFill="0" applyBorder="0" applyAlignment="0" applyProtection="0"/>
    <xf numFmtId="43" fontId="26"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4" fontId="26"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7" borderId="1" applyNumberFormat="0" applyAlignment="0" applyProtection="0"/>
    <xf numFmtId="0" fontId="23" fillId="7" borderId="1" applyNumberFormat="0" applyAlignment="0" applyProtection="0"/>
    <xf numFmtId="0" fontId="24" fillId="0" borderId="6" applyNumberFormat="0" applyFill="0" applyAlignment="0" applyProtection="0"/>
    <xf numFmtId="0" fontId="24" fillId="0" borderId="6" applyNumberFormat="0" applyFill="0" applyAlignment="0" applyProtection="0"/>
    <xf numFmtId="0" fontId="25" fillId="22" borderId="0" applyNumberFormat="0" applyBorder="0" applyAlignment="0" applyProtection="0"/>
    <xf numFmtId="0" fontId="25" fillId="22" borderId="0" applyNumberFormat="0" applyBorder="0" applyAlignment="0" applyProtection="0"/>
    <xf numFmtId="0" fontId="13" fillId="0" borderId="0"/>
    <xf numFmtId="0" fontId="12" fillId="0" borderId="0"/>
    <xf numFmtId="0" fontId="26" fillId="0" borderId="0"/>
    <xf numFmtId="0" fontId="12" fillId="0" borderId="0"/>
    <xf numFmtId="0" fontId="12" fillId="0" borderId="0"/>
    <xf numFmtId="0" fontId="26" fillId="23" borderId="7" applyNumberFormat="0" applyFont="0" applyAlignment="0" applyProtection="0"/>
    <xf numFmtId="0" fontId="12" fillId="23" borderId="7" applyNumberFormat="0" applyFont="0" applyAlignment="0" applyProtection="0"/>
    <xf numFmtId="0" fontId="27" fillId="20" borderId="8" applyNumberFormat="0" applyAlignment="0" applyProtection="0"/>
    <xf numFmtId="0" fontId="27" fillId="20" borderId="8" applyNumberFormat="0" applyAlignment="0" applyProtection="0"/>
    <xf numFmtId="9" fontId="13"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xf numFmtId="9" fontId="12" fillId="0" borderId="0" applyFont="0" applyFill="0" applyBorder="0" applyAlignment="0" applyProtection="0"/>
    <xf numFmtId="0" fontId="11" fillId="0" borderId="0"/>
    <xf numFmtId="0" fontId="1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9" fillId="0" borderId="0"/>
    <xf numFmtId="0" fontId="9" fillId="0" borderId="0"/>
    <xf numFmtId="0" fontId="8" fillId="0" borderId="0"/>
    <xf numFmtId="0" fontId="8" fillId="0" borderId="0"/>
    <xf numFmtId="9" fontId="8" fillId="0" borderId="0" applyFont="0" applyFill="0" applyBorder="0" applyAlignment="0" applyProtection="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9" fontId="12" fillId="0" borderId="0" applyFont="0" applyFill="0" applyBorder="0" applyAlignment="0" applyProtection="0"/>
    <xf numFmtId="0" fontId="39" fillId="0" borderId="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41" fillId="0" borderId="0"/>
    <xf numFmtId="44" fontId="12" fillId="0" borderId="0" applyFont="0" applyFill="0" applyBorder="0" applyAlignment="0" applyProtection="0"/>
    <xf numFmtId="43" fontId="12" fillId="0" borderId="0" applyFont="0" applyFill="0" applyBorder="0" applyAlignment="0" applyProtection="0"/>
    <xf numFmtId="0" fontId="6" fillId="0" borderId="0"/>
    <xf numFmtId="0" fontId="12" fillId="0" borderId="0"/>
    <xf numFmtId="0" fontId="6" fillId="0" borderId="0"/>
    <xf numFmtId="0" fontId="5" fillId="0" borderId="0"/>
    <xf numFmtId="0" fontId="4" fillId="0" borderId="0"/>
    <xf numFmtId="0" fontId="12" fillId="0" borderId="0"/>
    <xf numFmtId="0" fontId="61"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00" fillId="38" borderId="0" applyNumberFormat="0" applyBorder="0" applyAlignment="0" applyProtection="0"/>
    <xf numFmtId="164" fontId="1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26" fillId="0" borderId="0" applyNumberFormat="0" applyFill="0" applyBorder="0" applyAlignment="0" applyProtection="0"/>
  </cellStyleXfs>
  <cellXfs count="805">
    <xf numFmtId="0" fontId="0" fillId="0" borderId="0" xfId="0"/>
    <xf numFmtId="0" fontId="42" fillId="0" borderId="0" xfId="0" applyFont="1"/>
    <xf numFmtId="0" fontId="12" fillId="0" borderId="0" xfId="0" applyFont="1"/>
    <xf numFmtId="0" fontId="38" fillId="0" borderId="0" xfId="141" applyFont="1" applyAlignment="1">
      <alignment horizontal="left"/>
    </xf>
    <xf numFmtId="0" fontId="61" fillId="0" borderId="0" xfId="142"/>
    <xf numFmtId="0" fontId="12" fillId="0" borderId="0" xfId="142" applyFont="1"/>
    <xf numFmtId="0" fontId="62" fillId="0" borderId="25" xfId="142" applyFont="1" applyBorder="1" applyAlignment="1">
      <alignment vertical="center" wrapText="1"/>
    </xf>
    <xf numFmtId="10" fontId="63" fillId="0" borderId="26" xfId="142" applyNumberFormat="1" applyFont="1" applyBorder="1" applyAlignment="1">
      <alignment vertical="center" wrapText="1"/>
    </xf>
    <xf numFmtId="9" fontId="63" fillId="0" borderId="26" xfId="142" applyNumberFormat="1" applyFont="1" applyBorder="1" applyAlignment="1">
      <alignment horizontal="right" vertical="center"/>
    </xf>
    <xf numFmtId="0" fontId="62" fillId="26" borderId="23" xfId="142" applyFont="1" applyFill="1" applyBorder="1" applyAlignment="1">
      <alignment vertical="center" wrapText="1"/>
    </xf>
    <xf numFmtId="0" fontId="62" fillId="0" borderId="27" xfId="142" applyFont="1" applyBorder="1" applyAlignment="1">
      <alignment vertical="center"/>
    </xf>
    <xf numFmtId="9" fontId="63" fillId="0" borderId="28" xfId="142" applyNumberFormat="1" applyFont="1" applyBorder="1" applyAlignment="1">
      <alignment vertical="center"/>
    </xf>
    <xf numFmtId="9" fontId="63" fillId="0" borderId="28" xfId="142" applyNumberFormat="1" applyFont="1" applyBorder="1" applyAlignment="1">
      <alignment horizontal="right" vertical="center"/>
    </xf>
    <xf numFmtId="0" fontId="63" fillId="26" borderId="0" xfId="142" applyFont="1" applyFill="1" applyAlignment="1">
      <alignment vertical="center"/>
    </xf>
    <xf numFmtId="9" fontId="63" fillId="26" borderId="0" xfId="142" applyNumberFormat="1" applyFont="1" applyFill="1" applyAlignment="1">
      <alignment vertical="center"/>
    </xf>
    <xf numFmtId="3" fontId="63" fillId="0" borderId="28" xfId="142" applyNumberFormat="1" applyFont="1" applyBorder="1" applyAlignment="1">
      <alignment vertical="center"/>
    </xf>
    <xf numFmtId="6" fontId="63" fillId="0" borderId="28" xfId="142" applyNumberFormat="1" applyFont="1" applyBorder="1" applyAlignment="1">
      <alignment horizontal="center" vertical="center"/>
    </xf>
    <xf numFmtId="0" fontId="62" fillId="0" borderId="0" xfId="142" applyFont="1" applyAlignment="1">
      <alignment vertical="center"/>
    </xf>
    <xf numFmtId="9" fontId="61" fillId="0" borderId="0" xfId="142" quotePrefix="1" applyNumberFormat="1" applyAlignment="1">
      <alignment vertical="center"/>
    </xf>
    <xf numFmtId="9" fontId="61" fillId="0" borderId="0" xfId="142" applyNumberFormat="1" applyAlignment="1">
      <alignment vertical="center"/>
    </xf>
    <xf numFmtId="9" fontId="61" fillId="0" borderId="0" xfId="142" applyNumberFormat="1"/>
    <xf numFmtId="165" fontId="61" fillId="0" borderId="0" xfId="142" quotePrefix="1" applyNumberFormat="1"/>
    <xf numFmtId="0" fontId="61" fillId="0" borderId="0" xfId="142" quotePrefix="1"/>
    <xf numFmtId="9" fontId="61" fillId="0" borderId="0" xfId="142" applyNumberFormat="1" applyAlignment="1">
      <alignment horizontal="center" vertical="center"/>
    </xf>
    <xf numFmtId="44" fontId="0" fillId="0" borderId="0" xfId="111" applyFont="1" applyAlignment="1">
      <alignment horizontal="center" vertical="center"/>
    </xf>
    <xf numFmtId="43" fontId="0" fillId="27" borderId="0" xfId="107" applyFont="1" applyFill="1"/>
    <xf numFmtId="0" fontId="0" fillId="28" borderId="0" xfId="0" applyFill="1"/>
    <xf numFmtId="0" fontId="44" fillId="25" borderId="0" xfId="143" applyFont="1" applyFill="1"/>
    <xf numFmtId="0" fontId="3" fillId="25" borderId="0" xfId="143" applyFill="1"/>
    <xf numFmtId="0" fontId="45" fillId="25" borderId="0" xfId="143" applyFont="1" applyFill="1"/>
    <xf numFmtId="0" fontId="40" fillId="25" borderId="0" xfId="143" applyFont="1" applyFill="1"/>
    <xf numFmtId="0" fontId="38" fillId="25" borderId="0" xfId="143" applyFont="1" applyFill="1" applyAlignment="1">
      <alignment horizontal="left" vertical="center" indent="4"/>
    </xf>
    <xf numFmtId="0" fontId="58" fillId="25" borderId="12" xfId="143" applyFont="1" applyFill="1" applyBorder="1" applyAlignment="1">
      <alignment vertical="center" wrapText="1"/>
    </xf>
    <xf numFmtId="0" fontId="58" fillId="25" borderId="10" xfId="143" applyFont="1" applyFill="1" applyBorder="1" applyAlignment="1">
      <alignment horizontal="center" vertical="center" wrapText="1"/>
    </xf>
    <xf numFmtId="0" fontId="58" fillId="25" borderId="11" xfId="143" applyFont="1" applyFill="1" applyBorder="1" applyAlignment="1">
      <alignment vertical="center" wrapText="1"/>
    </xf>
    <xf numFmtId="3" fontId="38" fillId="25" borderId="13" xfId="143" applyNumberFormat="1" applyFont="1" applyFill="1" applyBorder="1" applyAlignment="1">
      <alignment horizontal="center" vertical="center" wrapText="1"/>
    </xf>
    <xf numFmtId="0" fontId="38" fillId="25" borderId="13" xfId="143" applyFont="1" applyFill="1" applyBorder="1" applyAlignment="1">
      <alignment horizontal="center" vertical="center" wrapText="1"/>
    </xf>
    <xf numFmtId="10" fontId="38" fillId="25" borderId="13" xfId="143" applyNumberFormat="1" applyFont="1" applyFill="1" applyBorder="1" applyAlignment="1">
      <alignment horizontal="center" vertical="center" wrapText="1"/>
    </xf>
    <xf numFmtId="0" fontId="38" fillId="25" borderId="0" xfId="143" applyFont="1" applyFill="1" applyAlignment="1">
      <alignment vertical="center"/>
    </xf>
    <xf numFmtId="0" fontId="38" fillId="0" borderId="0" xfId="143" applyFont="1" applyAlignment="1">
      <alignment vertical="center" wrapText="1"/>
    </xf>
    <xf numFmtId="0" fontId="3" fillId="0" borderId="0" xfId="143"/>
    <xf numFmtId="0" fontId="37" fillId="25" borderId="0" xfId="143" applyFont="1" applyFill="1"/>
    <xf numFmtId="0" fontId="65" fillId="25" borderId="0" xfId="143" applyFont="1" applyFill="1"/>
    <xf numFmtId="3" fontId="38" fillId="25" borderId="0" xfId="143" applyNumberFormat="1" applyFont="1" applyFill="1" applyAlignment="1">
      <alignment vertical="center"/>
    </xf>
    <xf numFmtId="0" fontId="38" fillId="25" borderId="30" xfId="143" applyFont="1" applyFill="1" applyBorder="1" applyAlignment="1">
      <alignment vertical="center"/>
    </xf>
    <xf numFmtId="3" fontId="38" fillId="25" borderId="16" xfId="143" applyNumberFormat="1" applyFont="1" applyFill="1" applyBorder="1" applyAlignment="1">
      <alignment horizontal="right" vertical="center"/>
    </xf>
    <xf numFmtId="0" fontId="38" fillId="25" borderId="31" xfId="143" applyFont="1" applyFill="1" applyBorder="1" applyAlignment="1">
      <alignment vertical="center"/>
    </xf>
    <xf numFmtId="0" fontId="38" fillId="25" borderId="15" xfId="143" applyFont="1" applyFill="1" applyBorder="1" applyAlignment="1">
      <alignment vertical="center"/>
    </xf>
    <xf numFmtId="3" fontId="38" fillId="25" borderId="15" xfId="143" applyNumberFormat="1" applyFont="1" applyFill="1" applyBorder="1" applyAlignment="1">
      <alignment horizontal="right" vertical="center"/>
    </xf>
    <xf numFmtId="0" fontId="38" fillId="25" borderId="32" xfId="143" applyFont="1" applyFill="1" applyBorder="1" applyAlignment="1">
      <alignment vertical="center"/>
    </xf>
    <xf numFmtId="0" fontId="38" fillId="25" borderId="15" xfId="143" applyFont="1" applyFill="1" applyBorder="1" applyAlignment="1">
      <alignment horizontal="right" vertical="center"/>
    </xf>
    <xf numFmtId="0" fontId="38" fillId="25" borderId="14" xfId="143" applyFont="1" applyFill="1" applyBorder="1" applyAlignment="1">
      <alignment vertical="center"/>
    </xf>
    <xf numFmtId="9" fontId="38" fillId="25" borderId="33" xfId="143" applyNumberFormat="1" applyFont="1" applyFill="1" applyBorder="1" applyAlignment="1">
      <alignment vertical="center"/>
    </xf>
    <xf numFmtId="0" fontId="38" fillId="25" borderId="0" xfId="143" applyFont="1" applyFill="1"/>
    <xf numFmtId="0" fontId="37" fillId="25" borderId="29" xfId="143" applyFont="1" applyFill="1" applyBorder="1" applyAlignment="1">
      <alignment vertical="center"/>
    </xf>
    <xf numFmtId="9" fontId="37" fillId="25" borderId="29" xfId="143" applyNumberFormat="1" applyFont="1" applyFill="1" applyBorder="1" applyAlignment="1">
      <alignment horizontal="right" vertical="center"/>
    </xf>
    <xf numFmtId="0" fontId="37" fillId="25" borderId="29" xfId="143" applyFont="1" applyFill="1" applyBorder="1" applyAlignment="1">
      <alignment horizontal="right" vertical="center"/>
    </xf>
    <xf numFmtId="0" fontId="38" fillId="25" borderId="0" xfId="143" applyFont="1" applyFill="1" applyAlignment="1">
      <alignment horizontal="left" vertical="center" indent="10"/>
    </xf>
    <xf numFmtId="0" fontId="38" fillId="0" borderId="0" xfId="143" applyFont="1"/>
    <xf numFmtId="0" fontId="37" fillId="0" borderId="0" xfId="143" applyFont="1"/>
    <xf numFmtId="0" fontId="37" fillId="25" borderId="0" xfId="143" applyFont="1" applyFill="1" applyAlignment="1">
      <alignment wrapText="1"/>
    </xf>
    <xf numFmtId="0" fontId="38" fillId="25" borderId="12" xfId="143" applyFont="1" applyFill="1" applyBorder="1" applyAlignment="1">
      <alignment vertical="center"/>
    </xf>
    <xf numFmtId="0" fontId="58" fillId="25" borderId="11" xfId="143" applyFont="1" applyFill="1" applyBorder="1" applyAlignment="1">
      <alignment vertical="center"/>
    </xf>
    <xf numFmtId="0" fontId="58" fillId="25" borderId="12" xfId="143" applyFont="1" applyFill="1" applyBorder="1" applyAlignment="1">
      <alignment vertical="center"/>
    </xf>
    <xf numFmtId="0" fontId="58" fillId="25" borderId="11" xfId="143" applyFont="1" applyFill="1" applyBorder="1" applyAlignment="1">
      <alignment horizontal="left" vertical="center"/>
    </xf>
    <xf numFmtId="0" fontId="54" fillId="25" borderId="0" xfId="143" applyFont="1" applyFill="1" applyAlignment="1">
      <alignment vertical="center"/>
    </xf>
    <xf numFmtId="0" fontId="36" fillId="25" borderId="0" xfId="143" applyFont="1" applyFill="1" applyAlignment="1">
      <alignment vertical="center"/>
    </xf>
    <xf numFmtId="0" fontId="66" fillId="25" borderId="0" xfId="143" applyFont="1" applyFill="1" applyAlignment="1">
      <alignment horizontal="left" vertical="center"/>
    </xf>
    <xf numFmtId="0" fontId="38" fillId="0" borderId="0" xfId="143" applyFont="1" applyAlignment="1">
      <alignment vertical="center"/>
    </xf>
    <xf numFmtId="0" fontId="68" fillId="0" borderId="0" xfId="143" applyFont="1" applyAlignment="1">
      <alignment horizontal="left" vertical="center"/>
    </xf>
    <xf numFmtId="0" fontId="66" fillId="25" borderId="0" xfId="143" applyFont="1" applyFill="1" applyAlignment="1">
      <alignment vertical="center"/>
    </xf>
    <xf numFmtId="0" fontId="38" fillId="25" borderId="0" xfId="144" applyFont="1" applyFill="1"/>
    <xf numFmtId="0" fontId="37" fillId="25" borderId="0" xfId="144" applyFont="1" applyFill="1"/>
    <xf numFmtId="0" fontId="3" fillId="25" borderId="0" xfId="144" applyFill="1"/>
    <xf numFmtId="0" fontId="38" fillId="25" borderId="0" xfId="144" applyFont="1" applyFill="1" applyAlignment="1">
      <alignment horizontal="left" indent="2"/>
    </xf>
    <xf numFmtId="0" fontId="3" fillId="29" borderId="29" xfId="144" applyFill="1" applyBorder="1" applyAlignment="1">
      <alignment wrapText="1"/>
    </xf>
    <xf numFmtId="0" fontId="3" fillId="29" borderId="34" xfId="144" applyFill="1" applyBorder="1" applyAlignment="1">
      <alignment wrapText="1"/>
    </xf>
    <xf numFmtId="0" fontId="3" fillId="30" borderId="18" xfId="144" applyFill="1" applyBorder="1"/>
    <xf numFmtId="1" fontId="3" fillId="30" borderId="18" xfId="144" applyNumberFormat="1" applyFill="1" applyBorder="1"/>
    <xf numFmtId="0" fontId="3" fillId="30" borderId="18" xfId="144" quotePrefix="1" applyFill="1" applyBorder="1"/>
    <xf numFmtId="0" fontId="3" fillId="30" borderId="17" xfId="144" quotePrefix="1" applyFill="1" applyBorder="1"/>
    <xf numFmtId="0" fontId="3" fillId="30" borderId="17" xfId="144" applyFill="1" applyBorder="1"/>
    <xf numFmtId="0" fontId="3" fillId="30" borderId="21" xfId="144" applyFill="1" applyBorder="1"/>
    <xf numFmtId="0" fontId="3" fillId="30" borderId="21" xfId="144" quotePrefix="1" applyFill="1" applyBorder="1"/>
    <xf numFmtId="0" fontId="3" fillId="30" borderId="19" xfId="144" applyFill="1" applyBorder="1"/>
    <xf numFmtId="0" fontId="52" fillId="25" borderId="0" xfId="143" applyFont="1" applyFill="1" applyAlignment="1">
      <alignment vertical="center"/>
    </xf>
    <xf numFmtId="0" fontId="52" fillId="0" borderId="0" xfId="143" applyFont="1" applyAlignment="1">
      <alignment vertical="center"/>
    </xf>
    <xf numFmtId="0" fontId="3" fillId="0" borderId="0" xfId="144"/>
    <xf numFmtId="0" fontId="44" fillId="24" borderId="0" xfId="143" applyFont="1" applyFill="1"/>
    <xf numFmtId="0" fontId="3" fillId="24" borderId="0" xfId="143" applyFill="1"/>
    <xf numFmtId="0" fontId="45" fillId="24" borderId="0" xfId="143" applyFont="1" applyFill="1"/>
    <xf numFmtId="0" fontId="40" fillId="24" borderId="0" xfId="143" applyFont="1" applyFill="1"/>
    <xf numFmtId="0" fontId="46" fillId="24" borderId="0" xfId="143" applyFont="1" applyFill="1"/>
    <xf numFmtId="0" fontId="47" fillId="24" borderId="0" xfId="143" applyFont="1" applyFill="1" applyAlignment="1">
      <alignment horizontal="left" vertical="center" indent="4"/>
    </xf>
    <xf numFmtId="0" fontId="38" fillId="24" borderId="0" xfId="143" applyFont="1" applyFill="1" applyAlignment="1">
      <alignment vertical="center"/>
    </xf>
    <xf numFmtId="0" fontId="45" fillId="24" borderId="12" xfId="143" applyFont="1" applyFill="1" applyBorder="1" applyAlignment="1">
      <alignment vertical="center" wrapText="1"/>
    </xf>
    <xf numFmtId="0" fontId="45" fillId="24" borderId="10" xfId="143" applyFont="1" applyFill="1" applyBorder="1" applyAlignment="1">
      <alignment vertical="center" wrapText="1"/>
    </xf>
    <xf numFmtId="0" fontId="47" fillId="24" borderId="11" xfId="143" applyFont="1" applyFill="1" applyBorder="1" applyAlignment="1">
      <alignment horizontal="center" vertical="center" wrapText="1"/>
    </xf>
    <xf numFmtId="0" fontId="47" fillId="24" borderId="13" xfId="143" applyFont="1" applyFill="1" applyBorder="1" applyAlignment="1">
      <alignment horizontal="center" vertical="center" wrapText="1"/>
    </xf>
    <xf numFmtId="0" fontId="47" fillId="24" borderId="0" xfId="143" applyFont="1" applyFill="1" applyAlignment="1">
      <alignment vertical="center"/>
    </xf>
    <xf numFmtId="0" fontId="49" fillId="24" borderId="0" xfId="143" applyFont="1" applyFill="1"/>
    <xf numFmtId="0" fontId="45" fillId="24" borderId="12" xfId="143" applyFont="1" applyFill="1" applyBorder="1" applyAlignment="1">
      <alignment horizontal="center" vertical="center" wrapText="1"/>
    </xf>
    <xf numFmtId="0" fontId="45" fillId="24" borderId="10" xfId="143" applyFont="1" applyFill="1" applyBorder="1" applyAlignment="1">
      <alignment horizontal="center" vertical="center" wrapText="1"/>
    </xf>
    <xf numFmtId="0" fontId="38" fillId="24" borderId="0" xfId="143" applyFont="1" applyFill="1"/>
    <xf numFmtId="0" fontId="50" fillId="24" borderId="0" xfId="143" applyFont="1" applyFill="1"/>
    <xf numFmtId="0" fontId="50" fillId="0" borderId="0" xfId="143" applyFont="1"/>
    <xf numFmtId="0" fontId="36" fillId="0" borderId="0" xfId="143" applyFont="1"/>
    <xf numFmtId="0" fontId="43" fillId="0" borderId="0" xfId="143" applyFont="1"/>
    <xf numFmtId="0" fontId="47" fillId="24" borderId="0" xfId="143" applyFont="1" applyFill="1"/>
    <xf numFmtId="0" fontId="47" fillId="0" borderId="0" xfId="143" applyFont="1"/>
    <xf numFmtId="0" fontId="47" fillId="24" borderId="12" xfId="143" applyFont="1" applyFill="1" applyBorder="1" applyAlignment="1">
      <alignment vertical="center" wrapText="1"/>
    </xf>
    <xf numFmtId="0" fontId="47" fillId="24" borderId="10" xfId="143" applyFont="1" applyFill="1" applyBorder="1" applyAlignment="1">
      <alignment horizontal="right" vertical="center" wrapText="1"/>
    </xf>
    <xf numFmtId="0" fontId="47" fillId="24" borderId="11" xfId="143" applyFont="1" applyFill="1" applyBorder="1" applyAlignment="1">
      <alignment vertical="center" wrapText="1"/>
    </xf>
    <xf numFmtId="0" fontId="47" fillId="24" borderId="13" xfId="143" applyFont="1" applyFill="1" applyBorder="1" applyAlignment="1">
      <alignment horizontal="right" vertical="center" wrapText="1"/>
    </xf>
    <xf numFmtId="0" fontId="49" fillId="24" borderId="0" xfId="143" applyFont="1" applyFill="1" applyAlignment="1">
      <alignment horizontal="left"/>
    </xf>
    <xf numFmtId="0" fontId="71" fillId="24" borderId="12" xfId="143" applyFont="1" applyFill="1" applyBorder="1" applyAlignment="1">
      <alignment horizontal="center" vertical="center" wrapText="1"/>
    </xf>
    <xf numFmtId="0" fontId="71" fillId="24" borderId="10" xfId="143" applyFont="1" applyFill="1" applyBorder="1" applyAlignment="1">
      <alignment horizontal="center" vertical="center" wrapText="1"/>
    </xf>
    <xf numFmtId="0" fontId="72" fillId="24" borderId="0" xfId="143" applyFont="1" applyFill="1"/>
    <xf numFmtId="0" fontId="71" fillId="24" borderId="11" xfId="143" applyFont="1" applyFill="1" applyBorder="1" applyAlignment="1">
      <alignment horizontal="center" vertical="center" wrapText="1"/>
    </xf>
    <xf numFmtId="0" fontId="72" fillId="24" borderId="13" xfId="143" applyFont="1" applyFill="1" applyBorder="1" applyAlignment="1">
      <alignment horizontal="center" vertical="center"/>
    </xf>
    <xf numFmtId="3" fontId="72" fillId="24" borderId="13" xfId="143" applyNumberFormat="1" applyFont="1" applyFill="1" applyBorder="1" applyAlignment="1">
      <alignment horizontal="center" vertical="center"/>
    </xf>
    <xf numFmtId="0" fontId="71" fillId="24" borderId="11" xfId="143" applyFont="1" applyFill="1" applyBorder="1" applyAlignment="1">
      <alignment horizontal="center" vertical="center"/>
    </xf>
    <xf numFmtId="0" fontId="47" fillId="24" borderId="0" xfId="143" applyFont="1" applyFill="1" applyAlignment="1">
      <alignment horizontal="left" vertical="center" indent="12"/>
    </xf>
    <xf numFmtId="0" fontId="37" fillId="24" borderId="0" xfId="143" applyFont="1" applyFill="1"/>
    <xf numFmtId="0" fontId="72" fillId="24" borderId="0" xfId="143" applyFont="1" applyFill="1" applyAlignment="1">
      <alignment vertical="center"/>
    </xf>
    <xf numFmtId="0" fontId="75" fillId="24" borderId="0" xfId="143" applyFont="1" applyFill="1"/>
    <xf numFmtId="0" fontId="72" fillId="24" borderId="0" xfId="143" applyFont="1" applyFill="1" applyAlignment="1">
      <alignment horizontal="left" vertical="center" indent="12"/>
    </xf>
    <xf numFmtId="0" fontId="76" fillId="24" borderId="0" xfId="143" applyFont="1" applyFill="1"/>
    <xf numFmtId="0" fontId="71" fillId="24" borderId="16" xfId="143" applyFont="1" applyFill="1" applyBorder="1" applyAlignment="1">
      <alignment horizontal="center" vertical="center" wrapText="1"/>
    </xf>
    <xf numFmtId="0" fontId="71" fillId="24" borderId="24" xfId="143" applyFont="1" applyFill="1" applyBorder="1" applyAlignment="1">
      <alignment horizontal="center" vertical="center" wrapText="1"/>
    </xf>
    <xf numFmtId="0" fontId="72" fillId="24" borderId="12" xfId="143" applyFont="1" applyFill="1" applyBorder="1" applyAlignment="1">
      <alignment horizontal="center" vertical="center" wrapText="1"/>
    </xf>
    <xf numFmtId="3" fontId="72" fillId="24" borderId="10" xfId="143" applyNumberFormat="1" applyFont="1" applyFill="1" applyBorder="1" applyAlignment="1">
      <alignment horizontal="center" vertical="center" wrapText="1"/>
    </xf>
    <xf numFmtId="37" fontId="72" fillId="24" borderId="10" xfId="143" applyNumberFormat="1" applyFont="1" applyFill="1" applyBorder="1" applyAlignment="1">
      <alignment horizontal="center" vertical="center" wrapText="1"/>
    </xf>
    <xf numFmtId="0" fontId="72" fillId="24" borderId="11" xfId="143" applyFont="1" applyFill="1" applyBorder="1" applyAlignment="1">
      <alignment horizontal="center" vertical="center" wrapText="1"/>
    </xf>
    <xf numFmtId="3" fontId="72" fillId="24" borderId="13" xfId="143" applyNumberFormat="1" applyFont="1" applyFill="1" applyBorder="1" applyAlignment="1">
      <alignment horizontal="center" vertical="center" wrapText="1"/>
    </xf>
    <xf numFmtId="37" fontId="72" fillId="24" borderId="13" xfId="143" applyNumberFormat="1" applyFont="1" applyFill="1" applyBorder="1" applyAlignment="1">
      <alignment horizontal="center" vertical="center" wrapText="1"/>
    </xf>
    <xf numFmtId="10" fontId="72" fillId="24" borderId="10" xfId="143" applyNumberFormat="1" applyFont="1" applyFill="1" applyBorder="1" applyAlignment="1">
      <alignment horizontal="center" vertical="center" wrapText="1"/>
    </xf>
    <xf numFmtId="10" fontId="72" fillId="24" borderId="13" xfId="143" applyNumberFormat="1" applyFont="1" applyFill="1" applyBorder="1" applyAlignment="1">
      <alignment horizontal="center" vertical="center" wrapText="1"/>
    </xf>
    <xf numFmtId="0" fontId="38" fillId="24" borderId="0" xfId="143" applyFont="1" applyFill="1" applyAlignment="1">
      <alignment horizontal="center" vertical="center" wrapText="1"/>
    </xf>
    <xf numFmtId="10" fontId="38" fillId="24" borderId="0" xfId="143" applyNumberFormat="1" applyFont="1" applyFill="1" applyAlignment="1">
      <alignment horizontal="center" vertical="center" wrapText="1"/>
    </xf>
    <xf numFmtId="3" fontId="38" fillId="24" borderId="0" xfId="143" applyNumberFormat="1" applyFont="1" applyFill="1" applyAlignment="1">
      <alignment horizontal="center" vertical="center" wrapText="1"/>
    </xf>
    <xf numFmtId="0" fontId="47" fillId="24" borderId="0" xfId="143" applyFont="1" applyFill="1" applyAlignment="1">
      <alignment horizontal="left" vertical="center"/>
    </xf>
    <xf numFmtId="0" fontId="72" fillId="24" borderId="0" xfId="143" applyFont="1" applyFill="1" applyAlignment="1">
      <alignment horizontal="left" vertical="center" indent="4"/>
    </xf>
    <xf numFmtId="0" fontId="76" fillId="0" borderId="0" xfId="143" applyFont="1"/>
    <xf numFmtId="0" fontId="77" fillId="24" borderId="14" xfId="143" applyFont="1" applyFill="1" applyBorder="1"/>
    <xf numFmtId="0" fontId="77" fillId="24" borderId="23" xfId="143" applyFont="1" applyFill="1" applyBorder="1"/>
    <xf numFmtId="0" fontId="77" fillId="24" borderId="10" xfId="143" applyFont="1" applyFill="1" applyBorder="1"/>
    <xf numFmtId="3" fontId="76" fillId="24" borderId="12" xfId="143" applyNumberFormat="1" applyFont="1" applyFill="1" applyBorder="1"/>
    <xf numFmtId="0" fontId="77" fillId="24" borderId="0" xfId="143" applyFont="1" applyFill="1"/>
    <xf numFmtId="10" fontId="76" fillId="24" borderId="12" xfId="143" applyNumberFormat="1" applyFont="1" applyFill="1" applyBorder="1"/>
    <xf numFmtId="0" fontId="76" fillId="24" borderId="12" xfId="143" applyFont="1" applyFill="1" applyBorder="1"/>
    <xf numFmtId="0" fontId="72" fillId="0" borderId="0" xfId="143" applyFont="1"/>
    <xf numFmtId="0" fontId="49" fillId="0" borderId="0" xfId="143" applyFont="1"/>
    <xf numFmtId="3" fontId="45" fillId="24" borderId="0" xfId="143" applyNumberFormat="1" applyFont="1" applyFill="1"/>
    <xf numFmtId="10" fontId="45" fillId="24" borderId="0" xfId="143" applyNumberFormat="1" applyFont="1" applyFill="1"/>
    <xf numFmtId="0" fontId="71" fillId="24" borderId="12" xfId="143" applyFont="1" applyFill="1" applyBorder="1" applyAlignment="1">
      <alignment horizontal="right" vertical="center"/>
    </xf>
    <xf numFmtId="0" fontId="71" fillId="24" borderId="10" xfId="143" applyFont="1" applyFill="1" applyBorder="1" applyAlignment="1">
      <alignment vertical="center"/>
    </xf>
    <xf numFmtId="0" fontId="71" fillId="24" borderId="11" xfId="143" applyFont="1" applyFill="1" applyBorder="1" applyAlignment="1">
      <alignment horizontal="right" vertical="center"/>
    </xf>
    <xf numFmtId="0" fontId="71" fillId="24" borderId="13" xfId="143" applyFont="1" applyFill="1" applyBorder="1" applyAlignment="1">
      <alignment horizontal="right" vertical="center"/>
    </xf>
    <xf numFmtId="0" fontId="51" fillId="24" borderId="0" xfId="143" applyFont="1" applyFill="1" applyAlignment="1">
      <alignment horizontal="left" vertical="center" indent="7"/>
    </xf>
    <xf numFmtId="0" fontId="38" fillId="24" borderId="0" xfId="143" applyFont="1" applyFill="1" applyAlignment="1">
      <alignment horizontal="right" vertical="center"/>
    </xf>
    <xf numFmtId="0" fontId="47" fillId="24" borderId="0" xfId="143" applyFont="1" applyFill="1" applyAlignment="1">
      <alignment horizontal="left" vertical="center" indent="7"/>
    </xf>
    <xf numFmtId="0" fontId="75" fillId="0" borderId="0" xfId="143" applyFont="1"/>
    <xf numFmtId="0" fontId="78" fillId="24" borderId="0" xfId="143" applyFont="1" applyFill="1" applyAlignment="1">
      <alignment vertical="center"/>
    </xf>
    <xf numFmtId="0" fontId="46" fillId="0" borderId="0" xfId="143" applyFont="1"/>
    <xf numFmtId="0" fontId="52" fillId="25" borderId="13" xfId="143" applyFont="1" applyFill="1" applyBorder="1" applyAlignment="1">
      <alignment vertical="center"/>
    </xf>
    <xf numFmtId="0" fontId="53" fillId="25" borderId="10" xfId="143" applyFont="1" applyFill="1" applyBorder="1" applyAlignment="1">
      <alignment horizontal="center" vertical="center"/>
    </xf>
    <xf numFmtId="0" fontId="53" fillId="25" borderId="10" xfId="143" applyFont="1" applyFill="1" applyBorder="1" applyAlignment="1">
      <alignment horizontal="center" vertical="center" wrapText="1"/>
    </xf>
    <xf numFmtId="0" fontId="53" fillId="25" borderId="15" xfId="143" applyFont="1" applyFill="1" applyBorder="1" applyAlignment="1">
      <alignment vertical="center"/>
    </xf>
    <xf numFmtId="0" fontId="53" fillId="25" borderId="11" xfId="143" applyFont="1" applyFill="1" applyBorder="1" applyAlignment="1">
      <alignment vertical="center"/>
    </xf>
    <xf numFmtId="0" fontId="52" fillId="25" borderId="13" xfId="143" applyFont="1" applyFill="1" applyBorder="1" applyAlignment="1">
      <alignment horizontal="center" vertical="center"/>
    </xf>
    <xf numFmtId="0" fontId="52" fillId="25" borderId="13" xfId="143" applyFont="1" applyFill="1" applyBorder="1" applyAlignment="1">
      <alignment horizontal="center" vertical="center" wrapText="1"/>
    </xf>
    <xf numFmtId="0" fontId="53" fillId="25" borderId="12" xfId="143" applyFont="1" applyFill="1" applyBorder="1" applyAlignment="1">
      <alignment vertical="center"/>
    </xf>
    <xf numFmtId="0" fontId="52" fillId="25" borderId="10" xfId="143" applyFont="1" applyFill="1" applyBorder="1" applyAlignment="1">
      <alignment horizontal="center" vertical="center"/>
    </xf>
    <xf numFmtId="9" fontId="52" fillId="25" borderId="13" xfId="143" applyNumberFormat="1" applyFont="1" applyFill="1" applyBorder="1" applyAlignment="1">
      <alignment horizontal="center" vertical="center"/>
    </xf>
    <xf numFmtId="0" fontId="38" fillId="25" borderId="0" xfId="143" applyFont="1" applyFill="1" applyAlignment="1">
      <alignment horizontal="left" vertical="center" indent="6"/>
    </xf>
    <xf numFmtId="0" fontId="55" fillId="0" borderId="0" xfId="143" applyFont="1" applyAlignment="1">
      <alignment vertical="center"/>
    </xf>
    <xf numFmtId="0" fontId="54" fillId="0" borderId="0" xfId="143" applyFont="1" applyAlignment="1">
      <alignment vertical="center"/>
    </xf>
    <xf numFmtId="9" fontId="38" fillId="25" borderId="10" xfId="143" applyNumberFormat="1" applyFont="1" applyFill="1" applyBorder="1" applyAlignment="1">
      <alignment vertical="center" wrapText="1"/>
    </xf>
    <xf numFmtId="9" fontId="38" fillId="25" borderId="13" xfId="143" applyNumberFormat="1" applyFont="1" applyFill="1" applyBorder="1" applyAlignment="1">
      <alignment vertical="center" wrapText="1"/>
    </xf>
    <xf numFmtId="0" fontId="38" fillId="25" borderId="13" xfId="143" applyFont="1" applyFill="1" applyBorder="1" applyAlignment="1">
      <alignment vertical="center" wrapText="1"/>
    </xf>
    <xf numFmtId="0" fontId="79" fillId="25" borderId="0" xfId="143" applyFont="1" applyFill="1"/>
    <xf numFmtId="0" fontId="79" fillId="25" borderId="35" xfId="143" applyFont="1" applyFill="1" applyBorder="1"/>
    <xf numFmtId="0" fontId="79" fillId="25" borderId="36" xfId="143" applyFont="1" applyFill="1" applyBorder="1"/>
    <xf numFmtId="0" fontId="3" fillId="25" borderId="0" xfId="143" applyFill="1" applyAlignment="1">
      <alignment vertical="center"/>
    </xf>
    <xf numFmtId="0" fontId="80" fillId="25" borderId="29" xfId="143" applyFont="1" applyFill="1" applyBorder="1" applyAlignment="1">
      <alignment vertical="center"/>
    </xf>
    <xf numFmtId="10" fontId="81" fillId="25" borderId="29" xfId="143" applyNumberFormat="1" applyFont="1" applyFill="1" applyBorder="1" applyAlignment="1">
      <alignment vertical="center"/>
    </xf>
    <xf numFmtId="0" fontId="50" fillId="25" borderId="0" xfId="143" applyFont="1" applyFill="1" applyAlignment="1">
      <alignment vertical="center"/>
    </xf>
    <xf numFmtId="0" fontId="80" fillId="25" borderId="29" xfId="143" applyFont="1" applyFill="1" applyBorder="1" applyAlignment="1">
      <alignment vertical="center" wrapText="1"/>
    </xf>
    <xf numFmtId="9" fontId="80" fillId="25" borderId="29" xfId="143" applyNumberFormat="1" applyFont="1" applyFill="1" applyBorder="1" applyAlignment="1">
      <alignment vertical="center"/>
    </xf>
    <xf numFmtId="9" fontId="81" fillId="25" borderId="29" xfId="143" applyNumberFormat="1" applyFont="1" applyFill="1" applyBorder="1" applyAlignment="1">
      <alignment vertical="center"/>
    </xf>
    <xf numFmtId="0" fontId="59" fillId="25" borderId="0" xfId="143" applyFont="1" applyFill="1" applyAlignment="1">
      <alignment vertical="center"/>
    </xf>
    <xf numFmtId="0" fontId="52" fillId="25" borderId="11" xfId="143" applyFont="1" applyFill="1" applyBorder="1" applyAlignment="1">
      <alignment vertical="center"/>
    </xf>
    <xf numFmtId="3" fontId="52" fillId="25" borderId="13" xfId="143" applyNumberFormat="1" applyFont="1" applyFill="1" applyBorder="1" applyAlignment="1">
      <alignment horizontal="center" vertical="center"/>
    </xf>
    <xf numFmtId="167" fontId="52" fillId="25" borderId="13" xfId="143" applyNumberFormat="1" applyFont="1" applyFill="1" applyBorder="1" applyAlignment="1">
      <alignment horizontal="center" vertical="center"/>
    </xf>
    <xf numFmtId="0" fontId="52" fillId="25" borderId="11" xfId="143" applyFont="1" applyFill="1" applyBorder="1" applyAlignment="1">
      <alignment horizontal="right" vertical="center"/>
    </xf>
    <xf numFmtId="0" fontId="50" fillId="25" borderId="0" xfId="143" applyFont="1" applyFill="1" applyAlignment="1">
      <alignment horizontal="left" vertical="center" indent="4"/>
    </xf>
    <xf numFmtId="0" fontId="38" fillId="25" borderId="10" xfId="143" applyFont="1" applyFill="1" applyBorder="1" applyAlignment="1">
      <alignment vertical="center" wrapText="1"/>
    </xf>
    <xf numFmtId="3" fontId="38" fillId="25" borderId="13" xfId="143" applyNumberFormat="1" applyFont="1" applyFill="1" applyBorder="1" applyAlignment="1">
      <alignment vertical="center" wrapText="1"/>
    </xf>
    <xf numFmtId="0" fontId="53" fillId="25" borderId="37" xfId="143" applyFont="1" applyFill="1" applyBorder="1" applyAlignment="1">
      <alignment vertical="center"/>
    </xf>
    <xf numFmtId="0" fontId="52" fillId="25" borderId="38" xfId="143" applyFont="1" applyFill="1" applyBorder="1" applyAlignment="1">
      <alignment horizontal="right" vertical="center"/>
    </xf>
    <xf numFmtId="0" fontId="53" fillId="25" borderId="39" xfId="143" applyFont="1" applyFill="1" applyBorder="1" applyAlignment="1">
      <alignment vertical="center"/>
    </xf>
    <xf numFmtId="3" fontId="52" fillId="25" borderId="40" xfId="143" applyNumberFormat="1" applyFont="1" applyFill="1" applyBorder="1" applyAlignment="1">
      <alignment horizontal="right" vertical="center"/>
    </xf>
    <xf numFmtId="0" fontId="36" fillId="0" borderId="0" xfId="143" applyFont="1" applyAlignment="1">
      <alignment vertical="center"/>
    </xf>
    <xf numFmtId="0" fontId="84" fillId="25" borderId="41" xfId="143" applyFont="1" applyFill="1" applyBorder="1" applyAlignment="1">
      <alignment vertical="center"/>
    </xf>
    <xf numFmtId="0" fontId="84" fillId="25" borderId="42" xfId="143" applyFont="1" applyFill="1" applyBorder="1" applyAlignment="1">
      <alignment horizontal="right" vertical="center"/>
    </xf>
    <xf numFmtId="0" fontId="37" fillId="25" borderId="39" xfId="143" applyFont="1" applyFill="1" applyBorder="1" applyAlignment="1">
      <alignment vertical="center"/>
    </xf>
    <xf numFmtId="0" fontId="37" fillId="25" borderId="40" xfId="143" applyFont="1" applyFill="1" applyBorder="1" applyAlignment="1">
      <alignment horizontal="right" vertical="center"/>
    </xf>
    <xf numFmtId="0" fontId="84" fillId="25" borderId="39" xfId="143" applyFont="1" applyFill="1" applyBorder="1" applyAlignment="1">
      <alignment vertical="center"/>
    </xf>
    <xf numFmtId="3" fontId="60" fillId="25" borderId="40" xfId="143" applyNumberFormat="1" applyFont="1" applyFill="1" applyBorder="1" applyAlignment="1">
      <alignment horizontal="right" vertical="center"/>
    </xf>
    <xf numFmtId="0" fontId="37" fillId="25" borderId="40" xfId="143" applyFont="1" applyFill="1" applyBorder="1" applyAlignment="1">
      <alignment vertical="top"/>
    </xf>
    <xf numFmtId="0" fontId="84" fillId="25" borderId="0" xfId="143" applyFont="1" applyFill="1" applyAlignment="1">
      <alignment vertical="center"/>
    </xf>
    <xf numFmtId="0" fontId="37" fillId="25" borderId="0" xfId="143" applyFont="1" applyFill="1" applyAlignment="1">
      <alignment vertical="top"/>
    </xf>
    <xf numFmtId="3" fontId="60" fillId="25" borderId="0" xfId="143" applyNumberFormat="1" applyFont="1" applyFill="1" applyAlignment="1">
      <alignment horizontal="right" vertical="center"/>
    </xf>
    <xf numFmtId="0" fontId="38" fillId="25" borderId="0" xfId="143" applyFont="1" applyFill="1" applyAlignment="1">
      <alignment horizontal="left" vertical="center"/>
    </xf>
    <xf numFmtId="0" fontId="38" fillId="25" borderId="11" xfId="143" applyFont="1" applyFill="1" applyBorder="1" applyAlignment="1">
      <alignment vertical="center"/>
    </xf>
    <xf numFmtId="0" fontId="38" fillId="25" borderId="13" xfId="143" applyFont="1" applyFill="1" applyBorder="1" applyAlignment="1">
      <alignment vertical="center"/>
    </xf>
    <xf numFmtId="0" fontId="3" fillId="25" borderId="12" xfId="143" applyFill="1" applyBorder="1"/>
    <xf numFmtId="0" fontId="58" fillId="25" borderId="10" xfId="143" applyFont="1" applyFill="1" applyBorder="1" applyAlignment="1">
      <alignment vertical="center" wrapText="1"/>
    </xf>
    <xf numFmtId="0" fontId="38" fillId="25" borderId="13" xfId="143" applyFont="1" applyFill="1" applyBorder="1" applyAlignment="1">
      <alignment horizontal="right" vertical="center"/>
    </xf>
    <xf numFmtId="9" fontId="38" fillId="25" borderId="13" xfId="143" applyNumberFormat="1" applyFont="1" applyFill="1" applyBorder="1" applyAlignment="1">
      <alignment horizontal="right" vertical="center" wrapText="1"/>
    </xf>
    <xf numFmtId="0" fontId="38" fillId="25" borderId="13" xfId="143" applyFont="1" applyFill="1" applyBorder="1" applyAlignment="1">
      <alignment horizontal="right" vertical="center" wrapText="1"/>
    </xf>
    <xf numFmtId="0" fontId="85" fillId="25" borderId="0" xfId="143" applyFont="1" applyFill="1" applyAlignment="1">
      <alignment vertical="center"/>
    </xf>
    <xf numFmtId="0" fontId="3" fillId="25" borderId="13" xfId="143" applyFill="1" applyBorder="1"/>
    <xf numFmtId="0" fontId="58" fillId="25" borderId="10" xfId="143" applyFont="1" applyFill="1" applyBorder="1" applyAlignment="1">
      <alignment vertical="center"/>
    </xf>
    <xf numFmtId="0" fontId="58" fillId="25" borderId="13" xfId="143" applyFont="1" applyFill="1" applyBorder="1" applyAlignment="1">
      <alignment vertical="center"/>
    </xf>
    <xf numFmtId="0" fontId="38" fillId="25" borderId="13" xfId="143" applyFont="1" applyFill="1" applyBorder="1" applyAlignment="1">
      <alignment horizontal="center"/>
    </xf>
    <xf numFmtId="0" fontId="3" fillId="25" borderId="22" xfId="143" applyFill="1" applyBorder="1"/>
    <xf numFmtId="0" fontId="36" fillId="0" borderId="12" xfId="143" applyFont="1" applyBorder="1" applyAlignment="1">
      <alignment vertical="center" wrapText="1"/>
    </xf>
    <xf numFmtId="0" fontId="44" fillId="25" borderId="0" xfId="145" applyFont="1" applyFill="1"/>
    <xf numFmtId="0" fontId="3" fillId="25" borderId="0" xfId="145" applyFill="1"/>
    <xf numFmtId="0" fontId="3" fillId="0" borderId="0" xfId="145"/>
    <xf numFmtId="0" fontId="45" fillId="25" borderId="0" xfId="145" applyFont="1" applyFill="1"/>
    <xf numFmtId="0" fontId="40" fillId="25" borderId="0" xfId="145" applyFont="1" applyFill="1"/>
    <xf numFmtId="0" fontId="38" fillId="25" borderId="0" xfId="145" applyFont="1" applyFill="1" applyAlignment="1">
      <alignment vertical="center"/>
    </xf>
    <xf numFmtId="0" fontId="59" fillId="25" borderId="0" xfId="145" applyFont="1" applyFill="1" applyAlignment="1">
      <alignment horizontal="left" vertical="center" indent="5"/>
    </xf>
    <xf numFmtId="0" fontId="53" fillId="25" borderId="12" xfId="145" applyFont="1" applyFill="1" applyBorder="1" applyAlignment="1">
      <alignment vertical="center" wrapText="1"/>
    </xf>
    <xf numFmtId="0" fontId="53" fillId="25" borderId="10" xfId="145" applyFont="1" applyFill="1" applyBorder="1" applyAlignment="1">
      <alignment vertical="center" wrapText="1"/>
    </xf>
    <xf numFmtId="0" fontId="52" fillId="25" borderId="11" xfId="145" applyFont="1" applyFill="1" applyBorder="1" applyAlignment="1">
      <alignment vertical="center"/>
    </xf>
    <xf numFmtId="0" fontId="52" fillId="25" borderId="13" xfId="145" applyFont="1" applyFill="1" applyBorder="1" applyAlignment="1">
      <alignment vertical="center" wrapText="1"/>
    </xf>
    <xf numFmtId="9" fontId="52" fillId="25" borderId="13" xfId="145" applyNumberFormat="1" applyFont="1" applyFill="1" applyBorder="1" applyAlignment="1">
      <alignment vertical="center" wrapText="1"/>
    </xf>
    <xf numFmtId="0" fontId="3" fillId="25" borderId="0" xfId="145" applyFill="1" applyAlignment="1">
      <alignment wrapText="1"/>
    </xf>
    <xf numFmtId="0" fontId="3" fillId="25" borderId="12" xfId="145" applyFill="1" applyBorder="1"/>
    <xf numFmtId="0" fontId="58" fillId="25" borderId="10" xfId="145" applyFont="1" applyFill="1" applyBorder="1" applyAlignment="1">
      <alignment vertical="center" wrapText="1"/>
    </xf>
    <xf numFmtId="0" fontId="53" fillId="25" borderId="11" xfId="145" applyFont="1" applyFill="1" applyBorder="1" applyAlignment="1">
      <alignment vertical="center" wrapText="1"/>
    </xf>
    <xf numFmtId="10" fontId="52" fillId="25" borderId="13" xfId="145" applyNumberFormat="1" applyFont="1" applyFill="1" applyBorder="1" applyAlignment="1">
      <alignment horizontal="right" vertical="center" wrapText="1"/>
    </xf>
    <xf numFmtId="9" fontId="52" fillId="25" borderId="13" xfId="145" applyNumberFormat="1" applyFont="1" applyFill="1" applyBorder="1" applyAlignment="1">
      <alignment horizontal="right" vertical="center" wrapText="1"/>
    </xf>
    <xf numFmtId="0" fontId="53" fillId="25" borderId="11" xfId="145" applyFont="1" applyFill="1" applyBorder="1" applyAlignment="1">
      <alignment vertical="center"/>
    </xf>
    <xf numFmtId="3" fontId="52" fillId="25" borderId="13" xfId="145" applyNumberFormat="1" applyFont="1" applyFill="1" applyBorder="1" applyAlignment="1">
      <alignment horizontal="right" vertical="center" wrapText="1"/>
    </xf>
    <xf numFmtId="0" fontId="38" fillId="25" borderId="0" xfId="145" applyFont="1" applyFill="1" applyAlignment="1">
      <alignment horizontal="left" vertical="center" indent="5"/>
    </xf>
    <xf numFmtId="0" fontId="54" fillId="0" borderId="0" xfId="145" applyFont="1" applyAlignment="1">
      <alignment vertical="center"/>
    </xf>
    <xf numFmtId="0" fontId="59" fillId="25" borderId="0" xfId="145" applyFont="1" applyFill="1" applyAlignment="1">
      <alignment horizontal="left" vertical="center" indent="13"/>
    </xf>
    <xf numFmtId="0" fontId="38" fillId="25" borderId="0" xfId="145" applyFont="1" applyFill="1" applyAlignment="1">
      <alignment horizontal="left" vertical="center" indent="13"/>
    </xf>
    <xf numFmtId="0" fontId="53" fillId="25" borderId="10" xfId="145" applyFont="1" applyFill="1" applyBorder="1" applyAlignment="1">
      <alignment horizontal="right" vertical="center" wrapText="1"/>
    </xf>
    <xf numFmtId="3" fontId="52" fillId="25" borderId="13" xfId="145" applyNumberFormat="1" applyFont="1" applyFill="1" applyBorder="1" applyAlignment="1">
      <alignment horizontal="right" vertical="center"/>
    </xf>
    <xf numFmtId="0" fontId="55" fillId="25" borderId="0" xfId="0" applyFont="1" applyFill="1"/>
    <xf numFmtId="0" fontId="55" fillId="0" borderId="0" xfId="0" applyFont="1"/>
    <xf numFmtId="0" fontId="57" fillId="25" borderId="20" xfId="0" applyFont="1" applyFill="1" applyBorder="1" applyAlignment="1">
      <alignment horizontal="center" wrapText="1"/>
    </xf>
    <xf numFmtId="0" fontId="57" fillId="25" borderId="0" xfId="0" applyFont="1" applyFill="1" applyAlignment="1">
      <alignment wrapText="1"/>
    </xf>
    <xf numFmtId="0" fontId="57" fillId="25" borderId="0" xfId="0" applyFont="1" applyFill="1" applyAlignment="1">
      <alignment horizontal="center"/>
    </xf>
    <xf numFmtId="10" fontId="55" fillId="25" borderId="10" xfId="0" applyNumberFormat="1" applyFont="1" applyFill="1" applyBorder="1" applyAlignment="1">
      <alignment horizontal="right" vertical="center" wrapText="1"/>
    </xf>
    <xf numFmtId="10" fontId="55" fillId="25" borderId="10" xfId="0" applyNumberFormat="1" applyFont="1" applyFill="1" applyBorder="1" applyAlignment="1">
      <alignment horizontal="right" vertical="center"/>
    </xf>
    <xf numFmtId="0" fontId="55" fillId="25" borderId="31" xfId="0" applyFont="1" applyFill="1" applyBorder="1" applyAlignment="1">
      <alignment horizontal="center" vertical="center"/>
    </xf>
    <xf numFmtId="10" fontId="55" fillId="25" borderId="0" xfId="0" applyNumberFormat="1" applyFont="1" applyFill="1" applyAlignment="1">
      <alignment horizontal="right" vertical="center" wrapText="1"/>
    </xf>
    <xf numFmtId="10" fontId="55" fillId="25" borderId="0" xfId="0" applyNumberFormat="1" applyFont="1" applyFill="1" applyAlignment="1">
      <alignment horizontal="right" vertical="center"/>
    </xf>
    <xf numFmtId="10" fontId="55" fillId="25" borderId="13" xfId="0" applyNumberFormat="1" applyFont="1" applyFill="1" applyBorder="1" applyAlignment="1">
      <alignment horizontal="right" vertical="center" wrapText="1"/>
    </xf>
    <xf numFmtId="10" fontId="55" fillId="25" borderId="13" xfId="0" applyNumberFormat="1" applyFont="1" applyFill="1" applyBorder="1" applyAlignment="1">
      <alignment horizontal="right" vertical="center"/>
    </xf>
    <xf numFmtId="9" fontId="55" fillId="25" borderId="13" xfId="0" applyNumberFormat="1" applyFont="1" applyFill="1" applyBorder="1" applyAlignment="1">
      <alignment horizontal="right" vertical="center"/>
    </xf>
    <xf numFmtId="9" fontId="55" fillId="25" borderId="0" xfId="0" applyNumberFormat="1" applyFont="1" applyFill="1" applyAlignment="1">
      <alignment horizontal="right" vertical="center"/>
    </xf>
    <xf numFmtId="10" fontId="55" fillId="25" borderId="34" xfId="0" applyNumberFormat="1" applyFont="1" applyFill="1" applyBorder="1" applyAlignment="1">
      <alignment horizontal="right"/>
    </xf>
    <xf numFmtId="10" fontId="55" fillId="25" borderId="43" xfId="0" applyNumberFormat="1" applyFont="1" applyFill="1" applyBorder="1" applyAlignment="1">
      <alignment horizontal="right"/>
    </xf>
    <xf numFmtId="10" fontId="55" fillId="25" borderId="44" xfId="0" applyNumberFormat="1" applyFont="1" applyFill="1" applyBorder="1" applyAlignment="1">
      <alignment horizontal="right"/>
    </xf>
    <xf numFmtId="10" fontId="55" fillId="25" borderId="29" xfId="128" applyNumberFormat="1" applyFont="1" applyFill="1" applyBorder="1"/>
    <xf numFmtId="0" fontId="57" fillId="25" borderId="0" xfId="0" applyFont="1" applyFill="1"/>
    <xf numFmtId="10" fontId="55" fillId="25" borderId="0" xfId="0" applyNumberFormat="1" applyFont="1" applyFill="1" applyAlignment="1">
      <alignment horizontal="right"/>
    </xf>
    <xf numFmtId="15" fontId="38" fillId="25" borderId="0" xfId="0" applyNumberFormat="1" applyFont="1" applyFill="1" applyAlignment="1">
      <alignment horizontal="left"/>
    </xf>
    <xf numFmtId="10" fontId="55" fillId="25" borderId="0" xfId="0" applyNumberFormat="1" applyFont="1" applyFill="1"/>
    <xf numFmtId="0" fontId="55" fillId="25" borderId="29" xfId="0" applyFont="1" applyFill="1" applyBorder="1"/>
    <xf numFmtId="0" fontId="57" fillId="25" borderId="29" xfId="0" applyFont="1" applyFill="1" applyBorder="1"/>
    <xf numFmtId="166" fontId="57" fillId="25" borderId="29" xfId="0" applyNumberFormat="1" applyFont="1" applyFill="1" applyBorder="1"/>
    <xf numFmtId="166" fontId="55" fillId="25" borderId="29" xfId="0" applyNumberFormat="1" applyFont="1" applyFill="1" applyBorder="1"/>
    <xf numFmtId="0" fontId="55" fillId="25" borderId="0" xfId="0" quotePrefix="1" applyFont="1" applyFill="1"/>
    <xf numFmtId="0" fontId="55" fillId="25" borderId="0" xfId="0" applyFont="1" applyFill="1" applyAlignment="1">
      <alignment horizontal="left" vertical="center" indent="2"/>
    </xf>
    <xf numFmtId="0" fontId="55" fillId="25" borderId="0" xfId="0" applyFont="1" applyFill="1" applyAlignment="1">
      <alignment vertical="center"/>
    </xf>
    <xf numFmtId="0" fontId="55" fillId="25" borderId="0" xfId="0" applyFont="1" applyFill="1" applyAlignment="1">
      <alignment horizontal="left" vertical="center" indent="6"/>
    </xf>
    <xf numFmtId="10" fontId="55" fillId="0" borderId="0" xfId="0" applyNumberFormat="1" applyFont="1"/>
    <xf numFmtId="0" fontId="55" fillId="25" borderId="29" xfId="0" applyFont="1" applyFill="1" applyBorder="1" applyAlignment="1">
      <alignment horizontal="center" wrapText="1"/>
    </xf>
    <xf numFmtId="165" fontId="55" fillId="25" borderId="29" xfId="0" applyNumberFormat="1" applyFont="1" applyFill="1" applyBorder="1"/>
    <xf numFmtId="9" fontId="55" fillId="25" borderId="29" xfId="0" applyNumberFormat="1" applyFont="1" applyFill="1" applyBorder="1"/>
    <xf numFmtId="0" fontId="38" fillId="25" borderId="0" xfId="145" applyFont="1" applyFill="1"/>
    <xf numFmtId="0" fontId="36" fillId="25" borderId="0" xfId="145" applyFont="1" applyFill="1"/>
    <xf numFmtId="0" fontId="0" fillId="25" borderId="0" xfId="0" applyFill="1"/>
    <xf numFmtId="0" fontId="57" fillId="25" borderId="12" xfId="0" applyFont="1" applyFill="1" applyBorder="1" applyAlignment="1">
      <alignment vertical="center" wrapText="1"/>
    </xf>
    <xf numFmtId="0" fontId="57" fillId="25" borderId="10" xfId="0" applyFont="1" applyFill="1" applyBorder="1" applyAlignment="1">
      <alignment horizontal="center" vertical="center" wrapText="1"/>
    </xf>
    <xf numFmtId="0" fontId="55" fillId="25" borderId="11" xfId="0" applyFont="1" applyFill="1" applyBorder="1" applyAlignment="1">
      <alignment vertical="center" wrapText="1"/>
    </xf>
    <xf numFmtId="0" fontId="55" fillId="25" borderId="13" xfId="0" applyFont="1" applyFill="1" applyBorder="1" applyAlignment="1">
      <alignment horizontal="center" vertical="center" wrapText="1"/>
    </xf>
    <xf numFmtId="0" fontId="57" fillId="25" borderId="10" xfId="0" applyFont="1" applyFill="1" applyBorder="1" applyAlignment="1">
      <alignment vertical="center" wrapText="1"/>
    </xf>
    <xf numFmtId="0" fontId="55" fillId="25" borderId="10" xfId="0" applyFont="1" applyFill="1" applyBorder="1" applyAlignment="1">
      <alignment horizontal="center" vertical="center" wrapText="1"/>
    </xf>
    <xf numFmtId="0" fontId="55" fillId="25" borderId="12" xfId="0" applyFont="1" applyFill="1" applyBorder="1" applyAlignment="1">
      <alignment vertical="center" wrapText="1"/>
    </xf>
    <xf numFmtId="9" fontId="55" fillId="25" borderId="13" xfId="0" applyNumberFormat="1" applyFont="1" applyFill="1" applyBorder="1" applyAlignment="1">
      <alignment horizontal="center" vertical="center" wrapText="1"/>
    </xf>
    <xf numFmtId="10" fontId="55" fillId="25" borderId="13" xfId="0" applyNumberFormat="1" applyFont="1" applyFill="1" applyBorder="1" applyAlignment="1">
      <alignment horizontal="center" vertical="center" wrapText="1"/>
    </xf>
    <xf numFmtId="0" fontId="55" fillId="25" borderId="0" xfId="0" applyFont="1" applyFill="1" applyAlignment="1">
      <alignment horizontal="left" vertical="center" indent="8"/>
    </xf>
    <xf numFmtId="0" fontId="55" fillId="0" borderId="0" xfId="0" applyFont="1" applyAlignment="1">
      <alignment vertical="center"/>
    </xf>
    <xf numFmtId="0" fontId="31" fillId="25" borderId="0" xfId="0" applyFont="1" applyFill="1"/>
    <xf numFmtId="0" fontId="55" fillId="25" borderId="0" xfId="0" applyFont="1" applyFill="1" applyAlignment="1">
      <alignment horizontal="left" vertical="center" indent="4"/>
    </xf>
    <xf numFmtId="0" fontId="86" fillId="25" borderId="12" xfId="0" applyFont="1" applyFill="1" applyBorder="1"/>
    <xf numFmtId="0" fontId="84" fillId="25" borderId="10" xfId="0" applyFont="1" applyFill="1" applyBorder="1" applyAlignment="1">
      <alignment vertical="center" wrapText="1"/>
    </xf>
    <xf numFmtId="0" fontId="84" fillId="25" borderId="10" xfId="0" applyFont="1" applyFill="1" applyBorder="1" applyAlignment="1">
      <alignment horizontal="right" vertical="center"/>
    </xf>
    <xf numFmtId="0" fontId="84" fillId="25" borderId="11" xfId="0" applyFont="1" applyFill="1" applyBorder="1" applyAlignment="1">
      <alignment vertical="center"/>
    </xf>
    <xf numFmtId="0" fontId="60" fillId="25" borderId="13" xfId="0" applyFont="1" applyFill="1" applyBorder="1" applyAlignment="1">
      <alignment vertical="center" wrapText="1"/>
    </xf>
    <xf numFmtId="0" fontId="60" fillId="25" borderId="13" xfId="0" applyFont="1" applyFill="1" applyBorder="1" applyAlignment="1">
      <alignment horizontal="right" vertical="center"/>
    </xf>
    <xf numFmtId="0" fontId="67" fillId="25" borderId="0" xfId="0" applyFont="1" applyFill="1" applyAlignment="1">
      <alignment horizontal="left" vertical="center" indent="6"/>
    </xf>
    <xf numFmtId="0" fontId="55" fillId="25" borderId="13" xfId="0" applyFont="1" applyFill="1" applyBorder="1" applyAlignment="1">
      <alignment vertical="center" wrapText="1"/>
    </xf>
    <xf numFmtId="0" fontId="63" fillId="26" borderId="45" xfId="142" applyFont="1" applyFill="1" applyBorder="1" applyAlignment="1">
      <alignment vertical="center"/>
    </xf>
    <xf numFmtId="9" fontId="63" fillId="26" borderId="45" xfId="142" applyNumberFormat="1" applyFont="1" applyFill="1" applyBorder="1" applyAlignment="1">
      <alignment vertical="center"/>
    </xf>
    <xf numFmtId="0" fontId="44" fillId="25" borderId="0" xfId="146" applyFont="1" applyFill="1"/>
    <xf numFmtId="0" fontId="2" fillId="25" borderId="0" xfId="146" applyFill="1"/>
    <xf numFmtId="0" fontId="45" fillId="25" borderId="0" xfId="146" applyFont="1" applyFill="1"/>
    <xf numFmtId="0" fontId="40" fillId="25" borderId="0" xfId="146" applyFont="1" applyFill="1"/>
    <xf numFmtId="0" fontId="38" fillId="25" borderId="0" xfId="146" applyFont="1" applyFill="1" applyAlignment="1">
      <alignment vertical="center"/>
    </xf>
    <xf numFmtId="0" fontId="38" fillId="25" borderId="10" xfId="146" applyFont="1" applyFill="1" applyBorder="1" applyAlignment="1">
      <alignment horizontal="center" vertical="center"/>
    </xf>
    <xf numFmtId="0" fontId="38" fillId="25" borderId="11" xfId="146" applyFont="1" applyFill="1" applyBorder="1" applyAlignment="1">
      <alignment vertical="center"/>
    </xf>
    <xf numFmtId="0" fontId="58" fillId="25" borderId="13" xfId="146" applyFont="1" applyFill="1" applyBorder="1" applyAlignment="1">
      <alignment horizontal="center" vertical="center"/>
    </xf>
    <xf numFmtId="0" fontId="38" fillId="25" borderId="13" xfId="146" applyFont="1" applyFill="1" applyBorder="1" applyAlignment="1">
      <alignment horizontal="center" vertical="center"/>
    </xf>
    <xf numFmtId="10" fontId="38" fillId="25" borderId="13" xfId="146" applyNumberFormat="1" applyFont="1" applyFill="1" applyBorder="1" applyAlignment="1">
      <alignment horizontal="center" vertical="center"/>
    </xf>
    <xf numFmtId="9" fontId="38" fillId="25" borderId="13" xfId="146" applyNumberFormat="1" applyFont="1" applyFill="1" applyBorder="1" applyAlignment="1">
      <alignment horizontal="center" vertical="center"/>
    </xf>
    <xf numFmtId="0" fontId="59" fillId="25" borderId="0" xfId="146" applyFont="1" applyFill="1" applyAlignment="1">
      <alignment horizontal="left" vertical="center" indent="7"/>
    </xf>
    <xf numFmtId="0" fontId="38" fillId="0" borderId="0" xfId="146" applyFont="1" applyAlignment="1">
      <alignment horizontal="left" vertical="center"/>
    </xf>
    <xf numFmtId="0" fontId="2" fillId="0" borderId="0" xfId="146"/>
    <xf numFmtId="0" fontId="38" fillId="25" borderId="0" xfId="146" applyFont="1" applyFill="1"/>
    <xf numFmtId="0" fontId="37" fillId="25" borderId="0" xfId="146" applyFont="1" applyFill="1"/>
    <xf numFmtId="0" fontId="37" fillId="25" borderId="0" xfId="146" applyFont="1" applyFill="1" applyAlignment="1">
      <alignment horizontal="left" vertical="center" indent="5"/>
    </xf>
    <xf numFmtId="0" fontId="38" fillId="25" borderId="0" xfId="146" applyFont="1" applyFill="1" applyAlignment="1">
      <alignment horizontal="left" vertical="center" indent="2"/>
    </xf>
    <xf numFmtId="0" fontId="37" fillId="25" borderId="0" xfId="146" applyFont="1" applyFill="1" applyAlignment="1">
      <alignment vertical="center"/>
    </xf>
    <xf numFmtId="0" fontId="37" fillId="0" borderId="0" xfId="146" applyFont="1" applyAlignment="1">
      <alignment vertical="center"/>
    </xf>
    <xf numFmtId="0" fontId="37" fillId="0" borderId="0" xfId="146" applyFont="1"/>
    <xf numFmtId="0" fontId="38" fillId="25" borderId="0" xfId="146" applyFont="1" applyFill="1" applyAlignment="1">
      <alignment horizontal="left" vertical="center" indent="6"/>
    </xf>
    <xf numFmtId="0" fontId="58" fillId="25" borderId="0" xfId="146" applyFont="1" applyFill="1" applyAlignment="1">
      <alignment vertical="center"/>
    </xf>
    <xf numFmtId="0" fontId="58" fillId="25" borderId="29" xfId="146" applyFont="1" applyFill="1" applyBorder="1" applyAlignment="1">
      <alignment horizontal="center" vertical="center"/>
    </xf>
    <xf numFmtId="0" fontId="58" fillId="25" borderId="0" xfId="146" applyFont="1" applyFill="1"/>
    <xf numFmtId="0" fontId="58" fillId="25" borderId="0" xfId="146" applyFont="1" applyFill="1" applyAlignment="1">
      <alignment horizontal="left" vertical="center" indent="2"/>
    </xf>
    <xf numFmtId="0" fontId="38" fillId="25" borderId="29" xfId="146" applyFont="1" applyFill="1" applyBorder="1" applyAlignment="1">
      <alignment horizontal="center" vertical="center"/>
    </xf>
    <xf numFmtId="0" fontId="38" fillId="25" borderId="0" xfId="146" applyFont="1" applyFill="1" applyAlignment="1">
      <alignment horizontal="right" vertical="center"/>
    </xf>
    <xf numFmtId="0" fontId="58" fillId="25" borderId="46" xfId="146" applyFont="1" applyFill="1" applyBorder="1" applyAlignment="1">
      <alignment horizontal="left" vertical="center" indent="2"/>
    </xf>
    <xf numFmtId="0" fontId="38" fillId="25" borderId="21" xfId="146" applyFont="1" applyFill="1" applyBorder="1"/>
    <xf numFmtId="0" fontId="58" fillId="25" borderId="29" xfId="146" applyFont="1" applyFill="1" applyBorder="1" applyAlignment="1">
      <alignment horizontal="left" vertical="center" indent="2"/>
    </xf>
    <xf numFmtId="0" fontId="38" fillId="25" borderId="29" xfId="146" applyFont="1" applyFill="1" applyBorder="1" applyAlignment="1">
      <alignment horizontal="left" vertical="center" indent="2"/>
    </xf>
    <xf numFmtId="0" fontId="38" fillId="0" borderId="0" xfId="146" applyFont="1"/>
    <xf numFmtId="0" fontId="38" fillId="25" borderId="0" xfId="146" applyFont="1" applyFill="1" applyAlignment="1">
      <alignment horizontal="left" vertical="center" indent="5"/>
    </xf>
    <xf numFmtId="0" fontId="58" fillId="25" borderId="12" xfId="146" applyFont="1" applyFill="1" applyBorder="1" applyAlignment="1">
      <alignment vertical="center" wrapText="1"/>
    </xf>
    <xf numFmtId="0" fontId="38" fillId="25" borderId="47" xfId="146" applyFont="1" applyFill="1" applyBorder="1" applyAlignment="1">
      <alignment vertical="center" wrapText="1"/>
    </xf>
    <xf numFmtId="0" fontId="38" fillId="25" borderId="13" xfId="146" applyFont="1" applyFill="1" applyBorder="1" applyAlignment="1">
      <alignment horizontal="left" vertical="center" wrapText="1"/>
    </xf>
    <xf numFmtId="0" fontId="38" fillId="25" borderId="48" xfId="146" applyFont="1" applyFill="1" applyBorder="1" applyAlignment="1">
      <alignment vertical="center" wrapText="1"/>
    </xf>
    <xf numFmtId="9" fontId="38" fillId="25" borderId="13" xfId="146" applyNumberFormat="1" applyFont="1" applyFill="1" applyBorder="1" applyAlignment="1">
      <alignment horizontal="left" vertical="center" wrapText="1"/>
    </xf>
    <xf numFmtId="0" fontId="38" fillId="25" borderId="49" xfId="146" applyFont="1" applyFill="1" applyBorder="1" applyAlignment="1">
      <alignment vertical="center" wrapText="1"/>
    </xf>
    <xf numFmtId="0" fontId="38" fillId="25" borderId="0" xfId="146" applyFont="1" applyFill="1" applyAlignment="1">
      <alignment horizontal="left" indent="5"/>
    </xf>
    <xf numFmtId="0" fontId="38" fillId="0" borderId="0" xfId="146" applyFont="1" applyAlignment="1">
      <alignment vertical="center"/>
    </xf>
    <xf numFmtId="0" fontId="38" fillId="0" borderId="0" xfId="146" applyFont="1" applyAlignment="1">
      <alignment horizontal="left" indent="5"/>
    </xf>
    <xf numFmtId="0" fontId="38" fillId="0" borderId="0" xfId="146" applyFont="1" applyAlignment="1">
      <alignment horizontal="left" vertical="center" indent="5"/>
    </xf>
    <xf numFmtId="0" fontId="65" fillId="25" borderId="0" xfId="146" applyFont="1" applyFill="1"/>
    <xf numFmtId="0" fontId="38" fillId="25" borderId="0" xfId="146" applyFont="1" applyFill="1" applyAlignment="1">
      <alignment horizontal="left" vertical="center" indent="3"/>
    </xf>
    <xf numFmtId="0" fontId="36" fillId="25" borderId="0" xfId="146" applyFont="1" applyFill="1" applyAlignment="1">
      <alignment horizontal="left" vertical="center" indent="5"/>
    </xf>
    <xf numFmtId="0" fontId="38" fillId="25" borderId="10" xfId="146" applyFont="1" applyFill="1" applyBorder="1" applyAlignment="1">
      <alignment vertical="center" wrapText="1"/>
    </xf>
    <xf numFmtId="0" fontId="38" fillId="25" borderId="11" xfId="146" applyFont="1" applyFill="1" applyBorder="1" applyAlignment="1">
      <alignment vertical="center" wrapText="1"/>
    </xf>
    <xf numFmtId="3" fontId="38" fillId="25" borderId="13" xfId="146" applyNumberFormat="1" applyFont="1" applyFill="1" applyBorder="1" applyAlignment="1">
      <alignment horizontal="left" vertical="center" wrapText="1"/>
    </xf>
    <xf numFmtId="0" fontId="43" fillId="25" borderId="0" xfId="146" applyFont="1" applyFill="1"/>
    <xf numFmtId="0" fontId="50" fillId="25" borderId="0" xfId="146" applyFont="1" applyFill="1"/>
    <xf numFmtId="0" fontId="88" fillId="25" borderId="0" xfId="146" applyFont="1" applyFill="1"/>
    <xf numFmtId="0" fontId="50" fillId="25" borderId="0" xfId="146" applyFont="1" applyFill="1" applyAlignment="1">
      <alignment wrapText="1"/>
    </xf>
    <xf numFmtId="0" fontId="57" fillId="25" borderId="12" xfId="146" applyFont="1" applyFill="1" applyBorder="1" applyAlignment="1">
      <alignment vertical="center" wrapText="1"/>
    </xf>
    <xf numFmtId="0" fontId="57" fillId="25" borderId="10" xfId="146" applyFont="1" applyFill="1" applyBorder="1" applyAlignment="1">
      <alignment horizontal="center" vertical="center"/>
    </xf>
    <xf numFmtId="0" fontId="55" fillId="25" borderId="11" xfId="146" applyFont="1" applyFill="1" applyBorder="1" applyAlignment="1">
      <alignment vertical="center" wrapText="1"/>
    </xf>
    <xf numFmtId="0" fontId="55" fillId="25" borderId="13" xfId="146" applyFont="1" applyFill="1" applyBorder="1" applyAlignment="1">
      <alignment horizontal="center" vertical="center"/>
    </xf>
    <xf numFmtId="3" fontId="55" fillId="25" borderId="13" xfId="146" applyNumberFormat="1" applyFont="1" applyFill="1" applyBorder="1" applyAlignment="1">
      <alignment horizontal="center" vertical="center"/>
    </xf>
    <xf numFmtId="0" fontId="57" fillId="25" borderId="13" xfId="146" applyFont="1" applyFill="1" applyBorder="1" applyAlignment="1">
      <alignment horizontal="center" vertical="center"/>
    </xf>
    <xf numFmtId="0" fontId="55" fillId="25" borderId="11" xfId="146" quotePrefix="1" applyFont="1" applyFill="1" applyBorder="1" applyAlignment="1">
      <alignment vertical="center" wrapText="1"/>
    </xf>
    <xf numFmtId="0" fontId="55" fillId="25" borderId="0" xfId="146" quotePrefix="1" applyFont="1" applyFill="1" applyAlignment="1">
      <alignment vertical="center" wrapText="1"/>
    </xf>
    <xf numFmtId="3" fontId="55" fillId="25" borderId="0" xfId="146" applyNumberFormat="1" applyFont="1" applyFill="1" applyAlignment="1">
      <alignment vertical="center"/>
    </xf>
    <xf numFmtId="0" fontId="55" fillId="25" borderId="0" xfId="146" applyFont="1" applyFill="1" applyAlignment="1">
      <alignment vertical="center"/>
    </xf>
    <xf numFmtId="0" fontId="55" fillId="25" borderId="0" xfId="146" applyFont="1" applyFill="1" applyAlignment="1">
      <alignment vertical="center" wrapText="1"/>
    </xf>
    <xf numFmtId="0" fontId="38" fillId="25" borderId="0" xfId="146" applyFont="1" applyFill="1" applyAlignment="1">
      <alignment horizontal="left" vertical="center" indent="4"/>
    </xf>
    <xf numFmtId="0" fontId="50" fillId="0" borderId="0" xfId="146" applyFont="1" applyAlignment="1">
      <alignment vertical="center"/>
    </xf>
    <xf numFmtId="0" fontId="50" fillId="0" borderId="0" xfId="146" applyFont="1"/>
    <xf numFmtId="0" fontId="50" fillId="0" borderId="0" xfId="146" applyFont="1" applyAlignment="1">
      <alignment horizontal="left" vertical="center" indent="5"/>
    </xf>
    <xf numFmtId="0" fontId="59" fillId="0" borderId="0" xfId="146" applyFont="1" applyAlignment="1">
      <alignment horizontal="left" vertical="center" indent="5"/>
    </xf>
    <xf numFmtId="0" fontId="12" fillId="0" borderId="0" xfId="0" quotePrefix="1" applyFont="1"/>
    <xf numFmtId="0" fontId="42" fillId="0" borderId="50" xfId="0" applyFont="1" applyBorder="1"/>
    <xf numFmtId="0" fontId="0" fillId="0" borderId="51" xfId="0" applyBorder="1"/>
    <xf numFmtId="0" fontId="0" fillId="0" borderId="52" xfId="0" applyBorder="1"/>
    <xf numFmtId="9" fontId="12" fillId="0" borderId="0" xfId="0" applyNumberFormat="1" applyFont="1"/>
    <xf numFmtId="43" fontId="12" fillId="0" borderId="0" xfId="61" applyFont="1"/>
    <xf numFmtId="43" fontId="12" fillId="0" borderId="0" xfId="0" applyNumberFormat="1" applyFont="1"/>
    <xf numFmtId="9" fontId="12" fillId="0" borderId="0" xfId="128" applyFont="1"/>
    <xf numFmtId="165" fontId="12" fillId="0" borderId="0" xfId="128" applyNumberFormat="1" applyFont="1"/>
    <xf numFmtId="0" fontId="12" fillId="0" borderId="0" xfId="0" applyFont="1" applyAlignment="1">
      <alignment horizontal="right"/>
    </xf>
    <xf numFmtId="164" fontId="12" fillId="0" borderId="0" xfId="0" applyNumberFormat="1" applyFont="1"/>
    <xf numFmtId="9" fontId="0" fillId="0" borderId="0" xfId="0" applyNumberFormat="1"/>
    <xf numFmtId="0" fontId="91" fillId="0" borderId="0" xfId="0" applyFont="1"/>
    <xf numFmtId="0" fontId="38" fillId="25" borderId="0" xfId="146" applyFont="1" applyFill="1" applyAlignment="1">
      <alignment horizontal="left" vertical="center" indent="1"/>
    </xf>
    <xf numFmtId="0" fontId="50" fillId="25" borderId="0" xfId="146" applyFont="1" applyFill="1" applyAlignment="1">
      <alignment vertical="center"/>
    </xf>
    <xf numFmtId="0" fontId="38" fillId="25" borderId="0" xfId="146" applyFont="1" applyFill="1" applyAlignment="1">
      <alignment horizontal="left" vertical="center" indent="8"/>
    </xf>
    <xf numFmtId="0" fontId="38" fillId="25" borderId="0" xfId="146" applyFont="1" applyFill="1" applyAlignment="1">
      <alignment horizontal="left" vertical="center"/>
    </xf>
    <xf numFmtId="0" fontId="38" fillId="0" borderId="0" xfId="146" applyFont="1" applyAlignment="1">
      <alignment horizontal="left" vertical="center" indent="6"/>
    </xf>
    <xf numFmtId="0" fontId="38" fillId="25" borderId="12" xfId="146" applyFont="1" applyFill="1" applyBorder="1" applyAlignment="1">
      <alignment horizontal="center" vertical="center"/>
    </xf>
    <xf numFmtId="0" fontId="38" fillId="25" borderId="10" xfId="146" applyFont="1" applyFill="1" applyBorder="1" applyAlignment="1">
      <alignment horizontal="center" vertical="center" wrapText="1"/>
    </xf>
    <xf numFmtId="0" fontId="38" fillId="25" borderId="11" xfId="146" applyFont="1" applyFill="1" applyBorder="1" applyAlignment="1">
      <alignment horizontal="center" vertical="center"/>
    </xf>
    <xf numFmtId="0" fontId="92" fillId="25" borderId="0" xfId="146" applyFont="1" applyFill="1" applyAlignment="1">
      <alignment vertical="center"/>
    </xf>
    <xf numFmtId="0" fontId="2" fillId="25" borderId="12" xfId="146" applyFill="1" applyBorder="1"/>
    <xf numFmtId="0" fontId="59" fillId="25" borderId="53" xfId="146" applyFont="1" applyFill="1" applyBorder="1" applyAlignment="1">
      <alignment horizontal="left" vertical="center" indent="9"/>
    </xf>
    <xf numFmtId="0" fontId="2" fillId="25" borderId="53" xfId="146" applyFill="1" applyBorder="1"/>
    <xf numFmtId="0" fontId="37" fillId="25" borderId="53" xfId="146" applyFont="1" applyFill="1" applyBorder="1" applyAlignment="1">
      <alignment horizontal="left"/>
    </xf>
    <xf numFmtId="3" fontId="37" fillId="25" borderId="53" xfId="146" applyNumberFormat="1" applyFont="1" applyFill="1" applyBorder="1" applyAlignment="1">
      <alignment horizontal="left"/>
    </xf>
    <xf numFmtId="0" fontId="2" fillId="25" borderId="50" xfId="146" applyFill="1" applyBorder="1"/>
    <xf numFmtId="0" fontId="2" fillId="25" borderId="52" xfId="146" applyFill="1" applyBorder="1"/>
    <xf numFmtId="0" fontId="37" fillId="25" borderId="53" xfId="146" applyFont="1" applyFill="1" applyBorder="1" applyAlignment="1">
      <alignment horizontal="center"/>
    </xf>
    <xf numFmtId="9" fontId="37" fillId="25" borderId="53" xfId="146" applyNumberFormat="1" applyFont="1" applyFill="1" applyBorder="1" applyAlignment="1">
      <alignment horizontal="center"/>
    </xf>
    <xf numFmtId="0" fontId="59" fillId="25" borderId="0" xfId="146" applyFont="1" applyFill="1" applyAlignment="1">
      <alignment horizontal="left" vertical="center" indent="9"/>
    </xf>
    <xf numFmtId="0" fontId="38" fillId="25" borderId="12" xfId="146" applyFont="1" applyFill="1" applyBorder="1" applyAlignment="1">
      <alignment vertical="center" wrapText="1"/>
    </xf>
    <xf numFmtId="3" fontId="52" fillId="25" borderId="10" xfId="146" applyNumberFormat="1" applyFont="1" applyFill="1" applyBorder="1" applyAlignment="1">
      <alignment vertical="center" wrapText="1"/>
    </xf>
    <xf numFmtId="3" fontId="52" fillId="25" borderId="13" xfId="146" applyNumberFormat="1" applyFont="1" applyFill="1" applyBorder="1" applyAlignment="1">
      <alignment vertical="center" wrapText="1"/>
    </xf>
    <xf numFmtId="0" fontId="38" fillId="0" borderId="0" xfId="146" applyFont="1" applyAlignment="1">
      <alignment horizontal="left" vertical="center" indent="9"/>
    </xf>
    <xf numFmtId="0" fontId="58" fillId="0" borderId="0" xfId="146" applyFont="1" applyAlignment="1">
      <alignment vertical="center"/>
    </xf>
    <xf numFmtId="0" fontId="52" fillId="25" borderId="53" xfId="146" applyFont="1" applyFill="1" applyBorder="1" applyAlignment="1">
      <alignment horizontal="center" vertical="center"/>
    </xf>
    <xf numFmtId="0" fontId="52" fillId="25" borderId="53" xfId="146" applyFont="1" applyFill="1" applyBorder="1" applyAlignment="1">
      <alignment vertical="center"/>
    </xf>
    <xf numFmtId="9" fontId="52" fillId="25" borderId="53" xfId="146" applyNumberFormat="1" applyFont="1" applyFill="1" applyBorder="1" applyAlignment="1">
      <alignment horizontal="center" vertical="center"/>
    </xf>
    <xf numFmtId="0" fontId="38" fillId="25" borderId="0" xfId="146" applyFont="1" applyFill="1" applyAlignment="1">
      <alignment horizontal="left" vertical="center" indent="7"/>
    </xf>
    <xf numFmtId="0" fontId="38" fillId="25" borderId="11" xfId="146" applyFont="1" applyFill="1" applyBorder="1" applyAlignment="1">
      <alignment horizontal="center" vertical="center" wrapText="1"/>
    </xf>
    <xf numFmtId="0" fontId="38" fillId="25" borderId="13" xfId="146" applyFont="1" applyFill="1" applyBorder="1" applyAlignment="1">
      <alignment horizontal="center" vertical="center" wrapText="1"/>
    </xf>
    <xf numFmtId="0" fontId="52" fillId="25" borderId="13" xfId="146" applyFont="1" applyFill="1" applyBorder="1" applyAlignment="1">
      <alignment horizontal="center" vertical="center" wrapText="1"/>
    </xf>
    <xf numFmtId="0" fontId="93" fillId="25" borderId="0" xfId="146" applyFont="1" applyFill="1" applyAlignment="1">
      <alignment vertical="center"/>
    </xf>
    <xf numFmtId="0" fontId="38" fillId="25" borderId="12" xfId="146" applyFont="1" applyFill="1" applyBorder="1" applyAlignment="1">
      <alignment horizontal="center" vertical="center" wrapText="1"/>
    </xf>
    <xf numFmtId="0" fontId="38" fillId="25" borderId="54" xfId="146" applyFont="1" applyFill="1" applyBorder="1" applyAlignment="1">
      <alignment horizontal="center" vertical="center" wrapText="1"/>
    </xf>
    <xf numFmtId="0" fontId="38" fillId="25" borderId="55" xfId="146" applyFont="1" applyFill="1" applyBorder="1" applyAlignment="1">
      <alignment horizontal="center" vertical="center" wrapText="1"/>
    </xf>
    <xf numFmtId="0" fontId="59" fillId="25" borderId="53" xfId="146" applyFont="1" applyFill="1" applyBorder="1" applyAlignment="1">
      <alignment horizontal="left" vertical="center" indent="1"/>
    </xf>
    <xf numFmtId="0" fontId="2" fillId="25" borderId="44" xfId="146" applyFill="1" applyBorder="1"/>
    <xf numFmtId="9" fontId="38" fillId="25" borderId="53" xfId="146" applyNumberFormat="1" applyFont="1" applyFill="1" applyBorder="1" applyAlignment="1">
      <alignment horizontal="center"/>
    </xf>
    <xf numFmtId="0" fontId="2" fillId="0" borderId="0" xfId="146" applyAlignment="1">
      <alignment vertical="center"/>
    </xf>
    <xf numFmtId="0" fontId="53" fillId="25" borderId="53" xfId="146" applyFont="1" applyFill="1" applyBorder="1" applyAlignment="1">
      <alignment vertical="center"/>
    </xf>
    <xf numFmtId="0" fontId="53" fillId="25" borderId="53" xfId="146" applyFont="1" applyFill="1" applyBorder="1" applyAlignment="1">
      <alignment horizontal="center" vertical="center"/>
    </xf>
    <xf numFmtId="0" fontId="2" fillId="25" borderId="53" xfId="146" applyFill="1" applyBorder="1" applyAlignment="1">
      <alignment horizontal="center"/>
    </xf>
    <xf numFmtId="3" fontId="52" fillId="25" borderId="53" xfId="146" applyNumberFormat="1" applyFont="1" applyFill="1" applyBorder="1" applyAlignment="1">
      <alignment horizontal="center" vertical="center"/>
    </xf>
    <xf numFmtId="0" fontId="59" fillId="25" borderId="53" xfId="146" applyFont="1" applyFill="1" applyBorder="1" applyAlignment="1">
      <alignment horizontal="left" vertical="center" indent="2"/>
    </xf>
    <xf numFmtId="0" fontId="50" fillId="25" borderId="0" xfId="146" applyFont="1" applyFill="1" applyAlignment="1">
      <alignment horizontal="left" vertical="center" indent="4"/>
    </xf>
    <xf numFmtId="0" fontId="79" fillId="31" borderId="0" xfId="84" applyFont="1" applyFill="1"/>
    <xf numFmtId="168" fontId="0" fillId="31" borderId="0" xfId="107" applyNumberFormat="1" applyFont="1" applyFill="1"/>
    <xf numFmtId="0" fontId="12" fillId="31" borderId="0" xfId="84" applyFill="1"/>
    <xf numFmtId="0" fontId="12" fillId="0" borderId="0" xfId="84"/>
    <xf numFmtId="168" fontId="0" fillId="0" borderId="0" xfId="107" applyNumberFormat="1" applyFont="1" applyFill="1"/>
    <xf numFmtId="0" fontId="79" fillId="0" borderId="0" xfId="84" applyFont="1"/>
    <xf numFmtId="168" fontId="0" fillId="0" borderId="0" xfId="107" applyNumberFormat="1" applyFont="1" applyFill="1" applyBorder="1"/>
    <xf numFmtId="169" fontId="0" fillId="31" borderId="0" xfId="107" applyNumberFormat="1" applyFont="1" applyFill="1" applyBorder="1"/>
    <xf numFmtId="169" fontId="0" fillId="0" borderId="0" xfId="107" applyNumberFormat="1" applyFont="1"/>
    <xf numFmtId="0" fontId="94" fillId="0" borderId="0" xfId="84" applyFont="1"/>
    <xf numFmtId="9" fontId="94" fillId="0" borderId="0" xfId="128" applyFont="1" applyFill="1" applyBorder="1" applyAlignment="1">
      <alignment horizontal="right"/>
    </xf>
    <xf numFmtId="9" fontId="95" fillId="0" borderId="0" xfId="128" applyFont="1" applyFill="1" applyBorder="1"/>
    <xf numFmtId="0" fontId="96" fillId="0" borderId="0" xfId="84" applyFont="1"/>
    <xf numFmtId="9" fontId="0" fillId="0" borderId="0" xfId="128" applyFont="1"/>
    <xf numFmtId="0" fontId="12" fillId="31" borderId="0" xfId="84" applyFill="1" applyAlignment="1">
      <alignment horizontal="right"/>
    </xf>
    <xf numFmtId="169" fontId="0" fillId="0" borderId="0" xfId="107" applyNumberFormat="1" applyFont="1" applyFill="1"/>
    <xf numFmtId="10" fontId="97" fillId="31" borderId="0" xfId="84" applyNumberFormat="1" applyFont="1" applyFill="1"/>
    <xf numFmtId="43" fontId="0" fillId="0" borderId="0" xfId="107" applyFont="1"/>
    <xf numFmtId="0" fontId="12" fillId="31" borderId="0" xfId="84" applyFill="1" applyAlignment="1">
      <alignment wrapText="1"/>
    </xf>
    <xf numFmtId="9" fontId="0" fillId="31" borderId="0" xfId="128" applyFont="1" applyFill="1" applyBorder="1"/>
    <xf numFmtId="10" fontId="95" fillId="0" borderId="0" xfId="128" applyNumberFormat="1" applyFont="1" applyBorder="1" applyAlignment="1">
      <alignment horizontal="right"/>
    </xf>
    <xf numFmtId="0" fontId="12" fillId="0" borderId="0" xfId="84" applyAlignment="1">
      <alignment horizontal="right"/>
    </xf>
    <xf numFmtId="0" fontId="12" fillId="0" borderId="0" xfId="84" quotePrefix="1"/>
    <xf numFmtId="0" fontId="79" fillId="32" borderId="56" xfId="84" applyFont="1" applyFill="1" applyBorder="1" applyAlignment="1">
      <alignment horizontal="center" vertical="center" wrapText="1"/>
    </xf>
    <xf numFmtId="0" fontId="79" fillId="32" borderId="0" xfId="84" applyFont="1" applyFill="1" applyAlignment="1">
      <alignment horizontal="center" vertical="center" wrapText="1"/>
    </xf>
    <xf numFmtId="165" fontId="0" fillId="0" borderId="0" xfId="128" applyNumberFormat="1" applyFont="1"/>
    <xf numFmtId="0" fontId="79" fillId="32" borderId="57" xfId="84" applyFont="1" applyFill="1" applyBorder="1" applyAlignment="1">
      <alignment horizontal="center" vertical="center" wrapText="1"/>
    </xf>
    <xf numFmtId="0" fontId="79" fillId="0" borderId="57" xfId="84" applyFont="1" applyBorder="1" applyAlignment="1">
      <alignment horizontal="center" vertical="center" wrapText="1"/>
    </xf>
    <xf numFmtId="0" fontId="79" fillId="0" borderId="0" xfId="84" applyFont="1" applyAlignment="1">
      <alignment horizontal="center" vertical="center" wrapText="1"/>
    </xf>
    <xf numFmtId="166" fontId="0" fillId="0" borderId="0" xfId="128" applyNumberFormat="1" applyFont="1"/>
    <xf numFmtId="44" fontId="0" fillId="0" borderId="0" xfId="111" applyFont="1"/>
    <xf numFmtId="0" fontId="98" fillId="0" borderId="0" xfId="84" applyFont="1"/>
    <xf numFmtId="44" fontId="12" fillId="33" borderId="0" xfId="111" applyFont="1" applyFill="1"/>
    <xf numFmtId="44" fontId="12" fillId="0" borderId="0" xfId="111" applyFont="1"/>
    <xf numFmtId="44" fontId="98" fillId="0" borderId="0" xfId="111" applyFont="1"/>
    <xf numFmtId="9" fontId="0" fillId="0" borderId="0" xfId="128" quotePrefix="1" applyFont="1"/>
    <xf numFmtId="3" fontId="12" fillId="0" borderId="0" xfId="84" applyNumberFormat="1"/>
    <xf numFmtId="39" fontId="12" fillId="0" borderId="0" xfId="84" applyNumberFormat="1"/>
    <xf numFmtId="0" fontId="42" fillId="0" borderId="0" xfId="84" applyFont="1"/>
    <xf numFmtId="0" fontId="55" fillId="25" borderId="0" xfId="84" applyFont="1" applyFill="1"/>
    <xf numFmtId="0" fontId="55" fillId="25" borderId="53" xfId="84" applyFont="1" applyFill="1" applyBorder="1"/>
    <xf numFmtId="0" fontId="55" fillId="25" borderId="43" xfId="84" applyFont="1" applyFill="1" applyBorder="1"/>
    <xf numFmtId="0" fontId="55" fillId="25" borderId="44" xfId="84" applyFont="1" applyFill="1" applyBorder="1"/>
    <xf numFmtId="0" fontId="55" fillId="25" borderId="18" xfId="84" applyFont="1" applyFill="1" applyBorder="1"/>
    <xf numFmtId="2" fontId="55" fillId="25" borderId="0" xfId="84" applyNumberFormat="1" applyFont="1" applyFill="1" applyAlignment="1">
      <alignment horizontal="center"/>
    </xf>
    <xf numFmtId="2" fontId="55" fillId="25" borderId="58" xfId="84" applyNumberFormat="1" applyFont="1" applyFill="1" applyBorder="1" applyAlignment="1">
      <alignment horizontal="center"/>
    </xf>
    <xf numFmtId="0" fontId="55" fillId="25" borderId="21" xfId="84" applyFont="1" applyFill="1" applyBorder="1"/>
    <xf numFmtId="2" fontId="55" fillId="25" borderId="20" xfId="84" applyNumberFormat="1" applyFont="1" applyFill="1" applyBorder="1" applyAlignment="1">
      <alignment horizontal="center"/>
    </xf>
    <xf numFmtId="2" fontId="55" fillId="25" borderId="59" xfId="84" applyNumberFormat="1" applyFont="1" applyFill="1" applyBorder="1" applyAlignment="1">
      <alignment horizontal="center"/>
    </xf>
    <xf numFmtId="0" fontId="55" fillId="25" borderId="53" xfId="84" applyFont="1" applyFill="1" applyBorder="1" applyAlignment="1">
      <alignment horizontal="center" vertical="center" wrapText="1"/>
    </xf>
    <xf numFmtId="0" fontId="55" fillId="25" borderId="43" xfId="84" applyFont="1" applyFill="1" applyBorder="1" applyAlignment="1">
      <alignment horizontal="center" vertical="center" wrapText="1"/>
    </xf>
    <xf numFmtId="0" fontId="55" fillId="25" borderId="44" xfId="84" applyFont="1" applyFill="1" applyBorder="1" applyAlignment="1">
      <alignment horizontal="center" vertical="center" wrapText="1"/>
    </xf>
    <xf numFmtId="0" fontId="55" fillId="25" borderId="46" xfId="84" applyFont="1" applyFill="1" applyBorder="1"/>
    <xf numFmtId="9" fontId="55" fillId="25" borderId="56" xfId="84" applyNumberFormat="1" applyFont="1" applyFill="1" applyBorder="1"/>
    <xf numFmtId="169" fontId="38" fillId="25" borderId="57" xfId="147" applyNumberFormat="1" applyFont="1" applyFill="1" applyBorder="1"/>
    <xf numFmtId="169" fontId="38" fillId="25" borderId="60" xfId="147" applyNumberFormat="1" applyFont="1" applyFill="1" applyBorder="1"/>
    <xf numFmtId="9" fontId="55" fillId="25" borderId="17" xfId="84" applyNumberFormat="1" applyFont="1" applyFill="1" applyBorder="1"/>
    <xf numFmtId="169" fontId="38" fillId="25" borderId="0" xfId="147" applyNumberFormat="1" applyFont="1" applyFill="1" applyBorder="1"/>
    <xf numFmtId="169" fontId="38" fillId="25" borderId="58" xfId="147" applyNumberFormat="1" applyFont="1" applyFill="1" applyBorder="1"/>
    <xf numFmtId="165" fontId="55" fillId="25" borderId="17" xfId="84" applyNumberFormat="1" applyFont="1" applyFill="1" applyBorder="1"/>
    <xf numFmtId="170" fontId="2" fillId="25" borderId="0" xfId="146" applyNumberFormat="1" applyFill="1"/>
    <xf numFmtId="165" fontId="55" fillId="25" borderId="19" xfId="84" applyNumberFormat="1" applyFont="1" applyFill="1" applyBorder="1"/>
    <xf numFmtId="169" fontId="38" fillId="25" borderId="20" xfId="147" applyNumberFormat="1" applyFont="1" applyFill="1" applyBorder="1"/>
    <xf numFmtId="169" fontId="38" fillId="25" borderId="59" xfId="147" applyNumberFormat="1" applyFont="1" applyFill="1" applyBorder="1"/>
    <xf numFmtId="0" fontId="2" fillId="34" borderId="0" xfId="146" applyFill="1"/>
    <xf numFmtId="0" fontId="38" fillId="34" borderId="0" xfId="146" applyFont="1" applyFill="1" applyAlignment="1">
      <alignment vertical="center"/>
    </xf>
    <xf numFmtId="0" fontId="38" fillId="34" borderId="0" xfId="146" applyFont="1" applyFill="1" applyAlignment="1">
      <alignment horizontal="left" vertical="center" indent="4"/>
    </xf>
    <xf numFmtId="15" fontId="38" fillId="34" borderId="11" xfId="146" applyNumberFormat="1" applyFont="1" applyFill="1" applyBorder="1" applyAlignment="1">
      <alignment horizontal="center" vertical="center"/>
    </xf>
    <xf numFmtId="15" fontId="38" fillId="34" borderId="13" xfId="146" applyNumberFormat="1" applyFont="1" applyFill="1" applyBorder="1" applyAlignment="1">
      <alignment horizontal="center" vertical="center"/>
    </xf>
    <xf numFmtId="3" fontId="38" fillId="34" borderId="11" xfId="146" applyNumberFormat="1" applyFont="1" applyFill="1" applyBorder="1" applyAlignment="1">
      <alignment horizontal="center" vertical="center"/>
    </xf>
    <xf numFmtId="3" fontId="38" fillId="34" borderId="13" xfId="146" applyNumberFormat="1" applyFont="1" applyFill="1" applyBorder="1" applyAlignment="1">
      <alignment horizontal="center" vertical="center"/>
    </xf>
    <xf numFmtId="0" fontId="38" fillId="34" borderId="53" xfId="146" applyFont="1" applyFill="1" applyBorder="1" applyAlignment="1">
      <alignment vertical="center" wrapText="1"/>
    </xf>
    <xf numFmtId="10" fontId="38" fillId="34" borderId="53" xfId="146" applyNumberFormat="1" applyFont="1" applyFill="1" applyBorder="1" applyAlignment="1">
      <alignment horizontal="left" vertical="center" indent="4"/>
    </xf>
    <xf numFmtId="0" fontId="38" fillId="34" borderId="53" xfId="146" applyFont="1" applyFill="1" applyBorder="1" applyAlignment="1">
      <alignment horizontal="center"/>
    </xf>
    <xf numFmtId="0" fontId="59" fillId="34" borderId="0" xfId="146" applyFont="1" applyFill="1" applyAlignment="1">
      <alignment horizontal="left" vertical="center" indent="4"/>
    </xf>
    <xf numFmtId="0" fontId="52" fillId="34" borderId="61" xfId="146" applyFont="1" applyFill="1" applyBorder="1" applyAlignment="1">
      <alignment vertical="center" wrapText="1"/>
    </xf>
    <xf numFmtId="0" fontId="52" fillId="34" borderId="62" xfId="146" applyFont="1" applyFill="1" applyBorder="1" applyAlignment="1">
      <alignment horizontal="center" vertical="center" wrapText="1"/>
    </xf>
    <xf numFmtId="0" fontId="52" fillId="34" borderId="63" xfId="146" applyFont="1" applyFill="1" applyBorder="1" applyAlignment="1">
      <alignment vertical="center" wrapText="1"/>
    </xf>
    <xf numFmtId="3" fontId="81" fillId="34" borderId="64" xfId="146" applyNumberFormat="1" applyFont="1" applyFill="1" applyBorder="1" applyAlignment="1">
      <alignment horizontal="center" vertical="center" wrapText="1"/>
    </xf>
    <xf numFmtId="0" fontId="81" fillId="34" borderId="64" xfId="146" applyFont="1" applyFill="1" applyBorder="1" applyAlignment="1">
      <alignment horizontal="center" vertical="center" wrapText="1"/>
    </xf>
    <xf numFmtId="0" fontId="52" fillId="34" borderId="65" xfId="146" applyFont="1" applyFill="1" applyBorder="1" applyAlignment="1">
      <alignment vertical="center" wrapText="1"/>
    </xf>
    <xf numFmtId="0" fontId="81" fillId="34" borderId="66" xfId="146" applyFont="1" applyFill="1" applyBorder="1" applyAlignment="1">
      <alignment horizontal="center" vertical="center" wrapText="1"/>
    </xf>
    <xf numFmtId="0" fontId="81" fillId="34" borderId="62" xfId="146" applyFont="1" applyFill="1" applyBorder="1" applyAlignment="1">
      <alignment horizontal="center" vertical="center" wrapText="1"/>
    </xf>
    <xf numFmtId="0" fontId="52" fillId="34" borderId="64" xfId="146" applyFont="1" applyFill="1" applyBorder="1" applyAlignment="1">
      <alignment horizontal="center" vertical="center" wrapText="1"/>
    </xf>
    <xf numFmtId="0" fontId="92" fillId="34" borderId="0" xfId="146" applyFont="1" applyFill="1" applyAlignment="1">
      <alignment vertical="center"/>
    </xf>
    <xf numFmtId="0" fontId="56" fillId="34" borderId="0" xfId="146" applyFont="1" applyFill="1" applyAlignment="1">
      <alignment horizontal="left" vertical="center" indent="9"/>
    </xf>
    <xf numFmtId="0" fontId="56" fillId="34" borderId="0" xfId="146" applyFont="1" applyFill="1" applyAlignment="1">
      <alignment vertical="center"/>
    </xf>
    <xf numFmtId="0" fontId="99" fillId="0" borderId="0" xfId="146" applyFont="1" applyAlignment="1">
      <alignment vertical="center"/>
    </xf>
    <xf numFmtId="0" fontId="50" fillId="34" borderId="0" xfId="146" applyFont="1" applyFill="1" applyAlignment="1">
      <alignment vertical="center"/>
    </xf>
    <xf numFmtId="0" fontId="38" fillId="34" borderId="12" xfId="146" applyFont="1" applyFill="1" applyBorder="1" applyAlignment="1">
      <alignment vertical="center"/>
    </xf>
    <xf numFmtId="0" fontId="50" fillId="34" borderId="10" xfId="146" applyFont="1" applyFill="1" applyBorder="1"/>
    <xf numFmtId="0" fontId="38" fillId="34" borderId="10" xfId="146" applyFont="1" applyFill="1" applyBorder="1" applyAlignment="1">
      <alignment horizontal="right" vertical="center"/>
    </xf>
    <xf numFmtId="3" fontId="38" fillId="34" borderId="13" xfId="146" applyNumberFormat="1" applyFont="1" applyFill="1" applyBorder="1" applyAlignment="1">
      <alignment horizontal="right" vertical="center"/>
    </xf>
    <xf numFmtId="0" fontId="38" fillId="34" borderId="13" xfId="146" applyFont="1" applyFill="1" applyBorder="1" applyAlignment="1">
      <alignment horizontal="right" vertical="center"/>
    </xf>
    <xf numFmtId="0" fontId="59" fillId="34" borderId="0" xfId="146" applyFont="1" applyFill="1" applyAlignment="1">
      <alignment horizontal="left" vertical="center" indent="7"/>
    </xf>
    <xf numFmtId="0" fontId="38" fillId="34" borderId="0" xfId="146" applyFont="1" applyFill="1" applyAlignment="1">
      <alignment horizontal="left" vertical="center" indent="7"/>
    </xf>
    <xf numFmtId="0" fontId="38" fillId="34" borderId="53" xfId="146" applyFont="1" applyFill="1" applyBorder="1" applyAlignment="1">
      <alignment vertical="center"/>
    </xf>
    <xf numFmtId="9" fontId="38" fillId="34" borderId="53" xfId="146" applyNumberFormat="1" applyFont="1" applyFill="1" applyBorder="1" applyAlignment="1">
      <alignment horizontal="center"/>
    </xf>
    <xf numFmtId="10" fontId="38" fillId="34" borderId="53" xfId="146" applyNumberFormat="1" applyFont="1" applyFill="1" applyBorder="1" applyAlignment="1">
      <alignment horizontal="center"/>
    </xf>
    <xf numFmtId="0" fontId="38" fillId="34" borderId="53" xfId="146" applyFont="1" applyFill="1" applyBorder="1" applyAlignment="1">
      <alignment horizontal="left" vertical="center" indent="7"/>
    </xf>
    <xf numFmtId="49" fontId="38" fillId="34" borderId="53" xfId="146" applyNumberFormat="1" applyFont="1" applyFill="1" applyBorder="1" applyAlignment="1">
      <alignment horizontal="center"/>
    </xf>
    <xf numFmtId="0" fontId="52" fillId="34" borderId="11" xfId="146" applyFont="1" applyFill="1" applyBorder="1" applyAlignment="1">
      <alignment horizontal="center" vertical="center"/>
    </xf>
    <xf numFmtId="0" fontId="52" fillId="34" borderId="13" xfId="146" applyFont="1" applyFill="1" applyBorder="1" applyAlignment="1">
      <alignment horizontal="center" vertical="center"/>
    </xf>
    <xf numFmtId="0" fontId="52" fillId="34" borderId="70" xfId="146" applyFont="1" applyFill="1" applyBorder="1" applyAlignment="1">
      <alignment vertical="center"/>
    </xf>
    <xf numFmtId="0" fontId="52" fillId="34" borderId="71" xfId="146" applyFont="1" applyFill="1" applyBorder="1" applyAlignment="1">
      <alignment vertical="center"/>
    </xf>
    <xf numFmtId="0" fontId="52" fillId="34" borderId="72" xfId="146" applyFont="1" applyFill="1" applyBorder="1" applyAlignment="1">
      <alignment vertical="center"/>
    </xf>
    <xf numFmtId="171" fontId="52" fillId="34" borderId="72" xfId="146" applyNumberFormat="1" applyFont="1" applyFill="1" applyBorder="1" applyAlignment="1">
      <alignment vertical="center"/>
    </xf>
    <xf numFmtId="0" fontId="38" fillId="34" borderId="0" xfId="146" applyFont="1" applyFill="1" applyAlignment="1">
      <alignment horizontal="left" vertical="center" indent="2"/>
    </xf>
    <xf numFmtId="0" fontId="38" fillId="34" borderId="73" xfId="146" applyFont="1" applyFill="1" applyBorder="1" applyAlignment="1">
      <alignment vertical="center"/>
    </xf>
    <xf numFmtId="0" fontId="38" fillId="34" borderId="69" xfId="146" applyFont="1" applyFill="1" applyBorder="1" applyAlignment="1">
      <alignment vertical="center"/>
    </xf>
    <xf numFmtId="0" fontId="38" fillId="34" borderId="71" xfId="146" applyFont="1" applyFill="1" applyBorder="1" applyAlignment="1">
      <alignment vertical="center"/>
    </xf>
    <xf numFmtId="0" fontId="38" fillId="34" borderId="72" xfId="146" applyFont="1" applyFill="1" applyBorder="1" applyAlignment="1">
      <alignment horizontal="right" vertical="center"/>
    </xf>
    <xf numFmtId="0" fontId="36" fillId="34" borderId="0" xfId="146" applyFont="1" applyFill="1" applyAlignment="1">
      <alignment vertical="center"/>
    </xf>
    <xf numFmtId="37" fontId="82" fillId="0" borderId="0" xfId="148" applyNumberFormat="1" applyFont="1" applyFill="1" applyAlignment="1">
      <alignment horizontal="left"/>
    </xf>
    <xf numFmtId="37" fontId="79" fillId="35" borderId="0" xfId="149" applyNumberFormat="1" applyFont="1" applyFill="1" applyAlignment="1">
      <alignment horizontal="center"/>
    </xf>
    <xf numFmtId="37" fontId="2" fillId="0" borderId="0" xfId="149" applyNumberFormat="1" applyAlignment="1">
      <alignment horizontal="center"/>
    </xf>
    <xf numFmtId="37" fontId="2" fillId="35" borderId="0" xfId="149" applyNumberFormat="1" applyFill="1" applyAlignment="1">
      <alignment horizontal="center"/>
    </xf>
    <xf numFmtId="9" fontId="2" fillId="35" borderId="0" xfId="128" applyFont="1" applyFill="1" applyAlignment="1">
      <alignment horizontal="center"/>
    </xf>
    <xf numFmtId="37" fontId="2" fillId="35" borderId="56" xfId="149" applyNumberFormat="1" applyFill="1" applyBorder="1" applyAlignment="1">
      <alignment horizontal="center"/>
    </xf>
    <xf numFmtId="37" fontId="2" fillId="35" borderId="57" xfId="149" applyNumberFormat="1" applyFill="1" applyBorder="1" applyAlignment="1">
      <alignment horizontal="center"/>
    </xf>
    <xf numFmtId="169" fontId="2" fillId="35" borderId="57" xfId="135" applyNumberFormat="1" applyFont="1" applyFill="1" applyBorder="1" applyAlignment="1">
      <alignment horizontal="center"/>
    </xf>
    <xf numFmtId="37" fontId="2" fillId="0" borderId="57" xfId="149" applyNumberFormat="1" applyBorder="1" applyAlignment="1">
      <alignment horizontal="center"/>
    </xf>
    <xf numFmtId="37" fontId="2" fillId="0" borderId="60" xfId="149" applyNumberFormat="1" applyBorder="1" applyAlignment="1">
      <alignment horizontal="center"/>
    </xf>
    <xf numFmtId="37" fontId="2" fillId="35" borderId="17" xfId="149" applyNumberFormat="1" applyFill="1" applyBorder="1" applyAlignment="1">
      <alignment horizontal="center"/>
    </xf>
    <xf numFmtId="169" fontId="2" fillId="35" borderId="0" xfId="135" applyNumberFormat="1" applyFont="1" applyFill="1" applyAlignment="1">
      <alignment horizontal="center"/>
    </xf>
    <xf numFmtId="37" fontId="2" fillId="0" borderId="58" xfId="149" applyNumberFormat="1" applyBorder="1" applyAlignment="1">
      <alignment horizontal="center"/>
    </xf>
    <xf numFmtId="169" fontId="0" fillId="35" borderId="0" xfId="135" applyNumberFormat="1" applyFont="1" applyFill="1"/>
    <xf numFmtId="37" fontId="2" fillId="0" borderId="19" xfId="149" applyNumberFormat="1" applyBorder="1" applyAlignment="1">
      <alignment horizontal="center"/>
    </xf>
    <xf numFmtId="37" fontId="2" fillId="0" borderId="20" xfId="149" applyNumberFormat="1" applyBorder="1" applyAlignment="1">
      <alignment horizontal="center"/>
    </xf>
    <xf numFmtId="37" fontId="2" fillId="0" borderId="59" xfId="149" applyNumberFormat="1" applyBorder="1" applyAlignment="1">
      <alignment horizontal="center"/>
    </xf>
    <xf numFmtId="37" fontId="79" fillId="0" borderId="0" xfId="149" applyNumberFormat="1" applyFont="1" applyAlignment="1">
      <alignment horizontal="center"/>
    </xf>
    <xf numFmtId="37" fontId="2" fillId="0" borderId="56" xfId="149" applyNumberFormat="1" applyBorder="1" applyAlignment="1">
      <alignment horizontal="center"/>
    </xf>
    <xf numFmtId="37" fontId="2" fillId="0" borderId="17" xfId="149" applyNumberFormat="1" applyBorder="1" applyAlignment="1">
      <alignment horizontal="center"/>
    </xf>
    <xf numFmtId="37" fontId="2" fillId="37" borderId="0" xfId="149" applyNumberFormat="1" applyFill="1" applyAlignment="1">
      <alignment horizontal="center"/>
    </xf>
    <xf numFmtId="9" fontId="97" fillId="0" borderId="0" xfId="150" applyFont="1" applyFill="1" applyAlignment="1">
      <alignment horizontal="center"/>
    </xf>
    <xf numFmtId="37" fontId="2" fillId="0" borderId="50" xfId="149" applyNumberFormat="1" applyBorder="1" applyAlignment="1">
      <alignment horizontal="center"/>
    </xf>
    <xf numFmtId="37" fontId="2" fillId="0" borderId="43" xfId="149" applyNumberFormat="1" applyBorder="1" applyAlignment="1">
      <alignment horizontal="center"/>
    </xf>
    <xf numFmtId="37" fontId="2" fillId="0" borderId="44" xfId="149" applyNumberFormat="1" applyBorder="1" applyAlignment="1">
      <alignment horizontal="center"/>
    </xf>
    <xf numFmtId="172" fontId="2" fillId="0" borderId="0" xfId="149" applyNumberFormat="1" applyAlignment="1">
      <alignment horizontal="center"/>
    </xf>
    <xf numFmtId="172" fontId="2" fillId="0" borderId="58" xfId="149" applyNumberFormat="1" applyBorder="1" applyAlignment="1">
      <alignment horizontal="center"/>
    </xf>
    <xf numFmtId="165" fontId="2" fillId="0" borderId="0" xfId="128" applyNumberFormat="1" applyFont="1" applyAlignment="1">
      <alignment horizontal="center"/>
    </xf>
    <xf numFmtId="37" fontId="79" fillId="0" borderId="17" xfId="149" applyNumberFormat="1" applyFont="1" applyBorder="1" applyAlignment="1">
      <alignment horizontal="center"/>
    </xf>
    <xf numFmtId="37" fontId="79" fillId="0" borderId="58" xfId="149" applyNumberFormat="1" applyFont="1" applyBorder="1" applyAlignment="1">
      <alignment horizontal="center"/>
    </xf>
    <xf numFmtId="37" fontId="19" fillId="4" borderId="0" xfId="68" applyNumberFormat="1" applyAlignment="1">
      <alignment horizontal="center"/>
    </xf>
    <xf numFmtId="37" fontId="79" fillId="0" borderId="19" xfId="149" applyNumberFormat="1" applyFont="1" applyBorder="1" applyAlignment="1">
      <alignment horizontal="center"/>
    </xf>
    <xf numFmtId="37" fontId="100" fillId="38" borderId="12" xfId="151" applyNumberFormat="1" applyBorder="1" applyAlignment="1">
      <alignment horizontal="center"/>
    </xf>
    <xf numFmtId="37" fontId="79" fillId="0" borderId="20" xfId="149" applyNumberFormat="1" applyFont="1" applyBorder="1" applyAlignment="1">
      <alignment horizontal="center"/>
    </xf>
    <xf numFmtId="37" fontId="79" fillId="0" borderId="59" xfId="149" applyNumberFormat="1" applyFont="1" applyBorder="1" applyAlignment="1">
      <alignment horizontal="center"/>
    </xf>
    <xf numFmtId="37" fontId="2" fillId="0" borderId="0" xfId="149" applyNumberFormat="1" applyAlignment="1">
      <alignment horizontal="center" wrapText="1"/>
    </xf>
    <xf numFmtId="37" fontId="95" fillId="0" borderId="0" xfId="149" applyNumberFormat="1" applyFont="1" applyAlignment="1">
      <alignment horizontal="center"/>
    </xf>
    <xf numFmtId="37" fontId="0" fillId="0" borderId="0" xfId="148" applyNumberFormat="1" applyFont="1" applyFill="1" applyAlignment="1">
      <alignment horizontal="left"/>
    </xf>
    <xf numFmtId="9" fontId="101" fillId="0" borderId="0" xfId="150" applyFont="1" applyFill="1" applyAlignment="1">
      <alignment horizontal="center"/>
    </xf>
    <xf numFmtId="9" fontId="0" fillId="0" borderId="0" xfId="150" applyFont="1" applyFill="1" applyAlignment="1">
      <alignment horizontal="center"/>
    </xf>
    <xf numFmtId="173" fontId="2" fillId="0" borderId="0" xfId="149" applyNumberFormat="1" applyAlignment="1">
      <alignment horizontal="center"/>
    </xf>
    <xf numFmtId="37" fontId="102" fillId="0" borderId="0" xfId="149" applyNumberFormat="1" applyFont="1" applyAlignment="1">
      <alignment horizontal="center"/>
    </xf>
    <xf numFmtId="174" fontId="2" fillId="0" borderId="0" xfId="149" applyNumberFormat="1" applyAlignment="1">
      <alignment horizontal="center"/>
    </xf>
    <xf numFmtId="37" fontId="97" fillId="0" borderId="0" xfId="149" applyNumberFormat="1" applyFont="1" applyAlignment="1">
      <alignment horizontal="center"/>
    </xf>
    <xf numFmtId="37" fontId="2" fillId="0" borderId="0" xfId="149" applyNumberFormat="1" applyAlignment="1">
      <alignment horizontal="left"/>
    </xf>
    <xf numFmtId="0" fontId="58" fillId="0" borderId="0" xfId="146" applyFont="1"/>
    <xf numFmtId="0" fontId="38" fillId="31" borderId="0" xfId="146" applyFont="1" applyFill="1"/>
    <xf numFmtId="0" fontId="58" fillId="31" borderId="0" xfId="146" applyFont="1" applyFill="1"/>
    <xf numFmtId="0" fontId="58" fillId="31" borderId="0" xfId="146" applyFont="1" applyFill="1" applyAlignment="1">
      <alignment vertical="center" wrapText="1"/>
    </xf>
    <xf numFmtId="0" fontId="12" fillId="39" borderId="0" xfId="84" applyFill="1"/>
    <xf numFmtId="0" fontId="42" fillId="39" borderId="53" xfId="84" applyFont="1" applyFill="1" applyBorder="1"/>
    <xf numFmtId="0" fontId="12" fillId="39" borderId="53" xfId="84" applyFill="1" applyBorder="1"/>
    <xf numFmtId="169" fontId="0" fillId="39" borderId="53" xfId="107" applyNumberFormat="1" applyFont="1" applyFill="1" applyBorder="1"/>
    <xf numFmtId="10" fontId="0" fillId="39" borderId="53" xfId="114" applyNumberFormat="1" applyFont="1" applyFill="1" applyBorder="1"/>
    <xf numFmtId="169" fontId="2" fillId="0" borderId="0" xfId="146" applyNumberFormat="1"/>
    <xf numFmtId="0" fontId="52" fillId="31" borderId="12" xfId="146" applyFont="1" applyFill="1" applyBorder="1" applyAlignment="1">
      <alignment vertical="center"/>
    </xf>
    <xf numFmtId="10" fontId="52" fillId="31" borderId="10" xfId="150" applyNumberFormat="1" applyFont="1" applyFill="1" applyBorder="1" applyAlignment="1">
      <alignment horizontal="right" vertical="center"/>
    </xf>
    <xf numFmtId="0" fontId="52" fillId="31" borderId="11" xfId="146" applyFont="1" applyFill="1" applyBorder="1" applyAlignment="1">
      <alignment vertical="center"/>
    </xf>
    <xf numFmtId="10" fontId="52" fillId="31" borderId="13" xfId="150" applyNumberFormat="1" applyFont="1" applyFill="1" applyBorder="1" applyAlignment="1">
      <alignment horizontal="right" vertical="center"/>
    </xf>
    <xf numFmtId="9" fontId="38" fillId="31" borderId="0" xfId="146" applyNumberFormat="1" applyFont="1" applyFill="1"/>
    <xf numFmtId="0" fontId="57" fillId="31" borderId="0" xfId="84" applyFont="1" applyFill="1"/>
    <xf numFmtId="0" fontId="55" fillId="31" borderId="0" xfId="84" applyFont="1" applyFill="1"/>
    <xf numFmtId="0" fontId="57" fillId="31" borderId="20" xfId="84" applyFont="1" applyFill="1" applyBorder="1"/>
    <xf numFmtId="0" fontId="55" fillId="31" borderId="20" xfId="84" applyFont="1" applyFill="1" applyBorder="1"/>
    <xf numFmtId="3" fontId="38" fillId="31" borderId="0" xfId="146" applyNumberFormat="1" applyFont="1" applyFill="1"/>
    <xf numFmtId="0" fontId="2" fillId="31" borderId="0" xfId="146" applyFill="1"/>
    <xf numFmtId="0" fontId="79" fillId="31" borderId="56" xfId="146" applyFont="1" applyFill="1" applyBorder="1"/>
    <xf numFmtId="0" fontId="2" fillId="31" borderId="50" xfId="146" applyFill="1" applyBorder="1"/>
    <xf numFmtId="0" fontId="2" fillId="31" borderId="44" xfId="146" applyFill="1" applyBorder="1"/>
    <xf numFmtId="0" fontId="2" fillId="31" borderId="19" xfId="146" applyFill="1" applyBorder="1"/>
    <xf numFmtId="0" fontId="2" fillId="31" borderId="59" xfId="146" applyFill="1" applyBorder="1"/>
    <xf numFmtId="0" fontId="79" fillId="31" borderId="17" xfId="146" applyFont="1" applyFill="1" applyBorder="1"/>
    <xf numFmtId="9" fontId="2" fillId="31" borderId="17" xfId="146" applyNumberFormat="1" applyFill="1" applyBorder="1"/>
    <xf numFmtId="10" fontId="2" fillId="31" borderId="58" xfId="146" applyNumberFormat="1" applyFill="1" applyBorder="1"/>
    <xf numFmtId="9" fontId="79" fillId="31" borderId="17" xfId="146" applyNumberFormat="1" applyFont="1" applyFill="1" applyBorder="1"/>
    <xf numFmtId="10" fontId="79" fillId="31" borderId="58" xfId="146" applyNumberFormat="1" applyFont="1" applyFill="1" applyBorder="1"/>
    <xf numFmtId="0" fontId="79" fillId="0" borderId="0" xfId="146" applyFont="1"/>
    <xf numFmtId="0" fontId="79" fillId="31" borderId="19" xfId="146" applyFont="1" applyFill="1" applyBorder="1"/>
    <xf numFmtId="10" fontId="2" fillId="31" borderId="59" xfId="146" applyNumberFormat="1" applyFill="1" applyBorder="1"/>
    <xf numFmtId="0" fontId="106" fillId="24" borderId="0" xfId="84" applyFont="1" applyFill="1" applyAlignment="1">
      <alignment vertical="center"/>
    </xf>
    <xf numFmtId="0" fontId="55" fillId="24" borderId="0" xfId="84" applyFont="1" applyFill="1"/>
    <xf numFmtId="0" fontId="57" fillId="24" borderId="0" xfId="84" applyFont="1" applyFill="1" applyAlignment="1">
      <alignment vertical="center" wrapText="1"/>
    </xf>
    <xf numFmtId="0" fontId="55" fillId="24" borderId="0" xfId="84" applyFont="1" applyFill="1" applyAlignment="1">
      <alignment vertical="center" wrapText="1"/>
    </xf>
    <xf numFmtId="0" fontId="55" fillId="0" borderId="0" xfId="84" applyFont="1"/>
    <xf numFmtId="17" fontId="55" fillId="24" borderId="0" xfId="84" applyNumberFormat="1" applyFont="1" applyFill="1" applyAlignment="1">
      <alignment vertical="center" wrapText="1"/>
    </xf>
    <xf numFmtId="0" fontId="93" fillId="0" borderId="0" xfId="84" applyFont="1"/>
    <xf numFmtId="0" fontId="57" fillId="24" borderId="0" xfId="84" applyFont="1" applyFill="1" applyAlignment="1">
      <alignment vertical="center"/>
    </xf>
    <xf numFmtId="9" fontId="55" fillId="24" borderId="0" xfId="84" applyNumberFormat="1" applyFont="1" applyFill="1"/>
    <xf numFmtId="0" fontId="38" fillId="40" borderId="0" xfId="146" applyFont="1" applyFill="1"/>
    <xf numFmtId="0" fontId="55" fillId="24" borderId="50" xfId="84" applyFont="1" applyFill="1" applyBorder="1"/>
    <xf numFmtId="0" fontId="55" fillId="24" borderId="43" xfId="84" applyFont="1" applyFill="1" applyBorder="1"/>
    <xf numFmtId="0" fontId="55" fillId="24" borderId="44" xfId="84" applyFont="1" applyFill="1" applyBorder="1"/>
    <xf numFmtId="0" fontId="55" fillId="24" borderId="53" xfId="84" applyFont="1" applyFill="1" applyBorder="1"/>
    <xf numFmtId="0" fontId="53" fillId="24" borderId="17" xfId="84" applyFont="1" applyFill="1" applyBorder="1"/>
    <xf numFmtId="0" fontId="55" fillId="24" borderId="58" xfId="84" applyFont="1" applyFill="1" applyBorder="1"/>
    <xf numFmtId="0" fontId="55" fillId="24" borderId="18" xfId="84" applyFont="1" applyFill="1" applyBorder="1"/>
    <xf numFmtId="0" fontId="55" fillId="24" borderId="17" xfId="84" applyFont="1" applyFill="1" applyBorder="1"/>
    <xf numFmtId="0" fontId="107" fillId="24" borderId="0" xfId="84" applyFont="1" applyFill="1"/>
    <xf numFmtId="0" fontId="55" fillId="24" borderId="19" xfId="84" applyFont="1" applyFill="1" applyBorder="1"/>
    <xf numFmtId="0" fontId="55" fillId="24" borderId="20" xfId="84" applyFont="1" applyFill="1" applyBorder="1"/>
    <xf numFmtId="0" fontId="107" fillId="24" borderId="20" xfId="84" applyFont="1" applyFill="1" applyBorder="1"/>
    <xf numFmtId="0" fontId="55" fillId="24" borderId="59" xfId="84" applyFont="1" applyFill="1" applyBorder="1"/>
    <xf numFmtId="0" fontId="55" fillId="24" borderId="21" xfId="84" applyFont="1" applyFill="1" applyBorder="1"/>
    <xf numFmtId="0" fontId="55" fillId="31" borderId="0" xfId="84" applyFont="1" applyFill="1" applyAlignment="1">
      <alignment horizontal="right"/>
    </xf>
    <xf numFmtId="10" fontId="55" fillId="31" borderId="0" xfId="84" applyNumberFormat="1" applyFont="1" applyFill="1"/>
    <xf numFmtId="169" fontId="12" fillId="0" borderId="0" xfId="84" applyNumberFormat="1"/>
    <xf numFmtId="169" fontId="12" fillId="0" borderId="0" xfId="148" applyNumberFormat="1" applyFont="1"/>
    <xf numFmtId="10" fontId="0" fillId="0" borderId="0" xfId="114" applyNumberFormat="1" applyFont="1"/>
    <xf numFmtId="175" fontId="12" fillId="0" borderId="0" xfId="148" applyNumberFormat="1" applyFont="1"/>
    <xf numFmtId="0" fontId="12" fillId="0" borderId="0" xfId="84" applyAlignment="1">
      <alignment wrapText="1"/>
    </xf>
    <xf numFmtId="176" fontId="12" fillId="0" borderId="0" xfId="148" applyNumberFormat="1" applyFont="1"/>
    <xf numFmtId="43" fontId="12" fillId="0" borderId="0" xfId="148" applyFont="1"/>
    <xf numFmtId="164" fontId="12" fillId="0" borderId="0" xfId="148" applyNumberFormat="1" applyFont="1"/>
    <xf numFmtId="164" fontId="42" fillId="0" borderId="12" xfId="148" applyNumberFormat="1" applyFont="1" applyBorder="1"/>
    <xf numFmtId="10" fontId="12" fillId="0" borderId="0" xfId="84" applyNumberFormat="1"/>
    <xf numFmtId="2" fontId="12" fillId="0" borderId="12" xfId="84" applyNumberFormat="1" applyBorder="1"/>
    <xf numFmtId="17" fontId="31" fillId="0" borderId="0" xfId="84" applyNumberFormat="1" applyFont="1" applyAlignment="1">
      <alignment vertical="center" wrapText="1"/>
    </xf>
    <xf numFmtId="9" fontId="12" fillId="0" borderId="0" xfId="84" applyNumberFormat="1"/>
    <xf numFmtId="2" fontId="42" fillId="0" borderId="0" xfId="84" applyNumberFormat="1" applyFont="1"/>
    <xf numFmtId="171" fontId="12" fillId="0" borderId="0" xfId="84" applyNumberFormat="1"/>
    <xf numFmtId="2" fontId="12" fillId="0" borderId="0" xfId="84" applyNumberFormat="1"/>
    <xf numFmtId="0" fontId="2" fillId="41" borderId="0" xfId="146" applyFill="1"/>
    <xf numFmtId="0" fontId="38" fillId="41" borderId="0" xfId="146" applyFont="1" applyFill="1" applyAlignment="1">
      <alignment vertical="center"/>
    </xf>
    <xf numFmtId="0" fontId="59" fillId="41" borderId="0" xfId="146" applyFont="1" applyFill="1" applyAlignment="1">
      <alignment horizontal="left" vertical="center" indent="2"/>
    </xf>
    <xf numFmtId="0" fontId="38" fillId="41" borderId="0" xfId="146" applyFont="1" applyFill="1" applyAlignment="1">
      <alignment horizontal="left" vertical="center" indent="6"/>
    </xf>
    <xf numFmtId="0" fontId="42" fillId="41" borderId="0" xfId="84" applyFont="1" applyFill="1"/>
    <xf numFmtId="0" fontId="12" fillId="41" borderId="0" xfId="84" applyFill="1"/>
    <xf numFmtId="0" fontId="108" fillId="42" borderId="0" xfId="84" applyFont="1" applyFill="1" applyAlignment="1">
      <alignment horizontal="left"/>
    </xf>
    <xf numFmtId="0" fontId="108" fillId="42" borderId="0" xfId="84" applyFont="1" applyFill="1" applyAlignment="1">
      <alignment horizontal="left" vertical="center"/>
    </xf>
    <xf numFmtId="0" fontId="108" fillId="42" borderId="0" xfId="84" applyFont="1" applyFill="1" applyAlignment="1">
      <alignment horizontal="center" vertical="center"/>
    </xf>
    <xf numFmtId="0" fontId="12" fillId="42" borderId="0" xfId="84" applyFill="1"/>
    <xf numFmtId="0" fontId="40" fillId="41" borderId="0" xfId="84" quotePrefix="1" applyFont="1" applyFill="1" applyAlignment="1">
      <alignment horizontal="left" indent="1"/>
    </xf>
    <xf numFmtId="168" fontId="40" fillId="41" borderId="0" xfId="152" applyNumberFormat="1" applyFont="1" applyFill="1"/>
    <xf numFmtId="0" fontId="79" fillId="41" borderId="43" xfId="84" applyFont="1" applyFill="1" applyBorder="1"/>
    <xf numFmtId="168" fontId="109" fillId="41" borderId="43" xfId="152" applyNumberFormat="1" applyFont="1" applyFill="1" applyBorder="1"/>
    <xf numFmtId="0" fontId="110" fillId="41" borderId="0" xfId="84" applyFont="1" applyFill="1"/>
    <xf numFmtId="168" fontId="111" fillId="41" borderId="0" xfId="152" applyNumberFormat="1" applyFont="1" applyFill="1" applyBorder="1"/>
    <xf numFmtId="164" fontId="12" fillId="41" borderId="0" xfId="84" applyNumberFormat="1" applyFill="1"/>
    <xf numFmtId="168" fontId="79" fillId="41" borderId="43" xfId="152" applyNumberFormat="1" applyFont="1" applyFill="1" applyBorder="1"/>
    <xf numFmtId="9" fontId="79" fillId="41" borderId="43" xfId="150" applyFont="1" applyFill="1" applyBorder="1"/>
    <xf numFmtId="0" fontId="44" fillId="25" borderId="0" xfId="153" applyFont="1" applyFill="1"/>
    <xf numFmtId="0" fontId="2" fillId="25" borderId="0" xfId="153" applyFill="1"/>
    <xf numFmtId="0" fontId="45" fillId="25" borderId="0" xfId="153" applyFont="1" applyFill="1"/>
    <xf numFmtId="0" fontId="38" fillId="25" borderId="0" xfId="153" applyFont="1" applyFill="1" applyAlignment="1">
      <alignment vertical="center"/>
    </xf>
    <xf numFmtId="0" fontId="37" fillId="25" borderId="53" xfId="153" applyFont="1" applyFill="1" applyBorder="1"/>
    <xf numFmtId="0" fontId="52" fillId="25" borderId="53" xfId="153" applyFont="1" applyFill="1" applyBorder="1" applyAlignment="1">
      <alignment horizontal="center" vertical="center"/>
    </xf>
    <xf numFmtId="0" fontId="52" fillId="25" borderId="53" xfId="153" applyFont="1" applyFill="1" applyBorder="1" applyAlignment="1">
      <alignment vertical="center"/>
    </xf>
    <xf numFmtId="9" fontId="52" fillId="25" borderId="53" xfId="153" applyNumberFormat="1" applyFont="1" applyFill="1" applyBorder="1" applyAlignment="1">
      <alignment horizontal="center" vertical="center"/>
    </xf>
    <xf numFmtId="0" fontId="2" fillId="25" borderId="0" xfId="153" applyFill="1" applyAlignment="1">
      <alignment horizontal="center"/>
    </xf>
    <xf numFmtId="0" fontId="2" fillId="25" borderId="53" xfId="153" applyFill="1" applyBorder="1"/>
    <xf numFmtId="169" fontId="52" fillId="25" borderId="53" xfId="154" applyNumberFormat="1" applyFont="1" applyFill="1" applyBorder="1" applyAlignment="1">
      <alignment vertical="center"/>
    </xf>
    <xf numFmtId="10" fontId="52" fillId="25" borderId="53" xfId="114" applyNumberFormat="1" applyFont="1" applyFill="1" applyBorder="1" applyAlignment="1">
      <alignment vertical="center"/>
    </xf>
    <xf numFmtId="0" fontId="37" fillId="24" borderId="0" xfId="146" applyFont="1" applyFill="1"/>
    <xf numFmtId="0" fontId="114" fillId="24" borderId="0" xfId="146" applyFont="1" applyFill="1"/>
    <xf numFmtId="0" fontId="115" fillId="24" borderId="0" xfId="84" applyFont="1" applyFill="1"/>
    <xf numFmtId="0" fontId="31" fillId="24" borderId="0" xfId="84" applyFont="1" applyFill="1"/>
    <xf numFmtId="9" fontId="37" fillId="24" borderId="0" xfId="114" applyFont="1" applyFill="1"/>
    <xf numFmtId="9" fontId="31" fillId="24" borderId="0" xfId="84" applyNumberFormat="1" applyFont="1" applyFill="1"/>
    <xf numFmtId="10" fontId="31" fillId="24" borderId="0" xfId="84" applyNumberFormat="1" applyFont="1" applyFill="1"/>
    <xf numFmtId="0" fontId="2" fillId="24" borderId="0" xfId="146" applyFill="1"/>
    <xf numFmtId="0" fontId="38" fillId="24" borderId="0" xfId="146" applyFont="1" applyFill="1" applyAlignment="1">
      <alignment vertical="center"/>
    </xf>
    <xf numFmtId="0" fontId="59" fillId="24" borderId="0" xfId="146" applyFont="1" applyFill="1" applyAlignment="1">
      <alignment horizontal="left" vertical="center" indent="6"/>
    </xf>
    <xf numFmtId="0" fontId="54" fillId="24" borderId="0" xfId="146" applyFont="1" applyFill="1" applyAlignment="1">
      <alignment vertical="center"/>
    </xf>
    <xf numFmtId="0" fontId="59" fillId="24" borderId="0" xfId="146" applyFont="1" applyFill="1" applyAlignment="1">
      <alignment horizontal="left" vertical="center" indent="12"/>
    </xf>
    <xf numFmtId="0" fontId="38" fillId="24" borderId="0" xfId="146" applyFont="1" applyFill="1" applyAlignment="1">
      <alignment horizontal="left" vertical="center" indent="5"/>
    </xf>
    <xf numFmtId="0" fontId="59" fillId="24" borderId="0" xfId="146" applyFont="1" applyFill="1" applyAlignment="1">
      <alignment horizontal="left" vertical="center" indent="15"/>
    </xf>
    <xf numFmtId="0" fontId="38" fillId="24" borderId="0" xfId="146" applyFont="1" applyFill="1" applyAlignment="1">
      <alignment horizontal="left" vertical="center" indent="13"/>
    </xf>
    <xf numFmtId="0" fontId="38" fillId="24" borderId="0" xfId="146" applyFont="1" applyFill="1" applyAlignment="1">
      <alignment horizontal="left" vertical="center" indent="10"/>
    </xf>
    <xf numFmtId="0" fontId="38" fillId="24" borderId="0" xfId="146" applyFont="1" applyFill="1"/>
    <xf numFmtId="0" fontId="38" fillId="24" borderId="12" xfId="146" applyFont="1" applyFill="1" applyBorder="1" applyAlignment="1">
      <alignment vertical="center" wrapText="1"/>
    </xf>
    <xf numFmtId="3" fontId="38" fillId="24" borderId="10" xfId="146" applyNumberFormat="1" applyFont="1" applyFill="1" applyBorder="1" applyAlignment="1">
      <alignment vertical="center" wrapText="1"/>
    </xf>
    <xf numFmtId="0" fontId="38" fillId="24" borderId="11" xfId="146" applyFont="1" applyFill="1" applyBorder="1" applyAlignment="1">
      <alignment vertical="center" wrapText="1"/>
    </xf>
    <xf numFmtId="3" fontId="38" fillId="24" borderId="13" xfId="146" applyNumberFormat="1" applyFont="1" applyFill="1" applyBorder="1" applyAlignment="1">
      <alignment vertical="center" wrapText="1"/>
    </xf>
    <xf numFmtId="0" fontId="38" fillId="24" borderId="0" xfId="146" applyFont="1" applyFill="1" applyAlignment="1">
      <alignment horizontal="left" vertical="center" indent="6"/>
    </xf>
    <xf numFmtId="0" fontId="37" fillId="41" borderId="0" xfId="146" applyFont="1" applyFill="1"/>
    <xf numFmtId="0" fontId="114" fillId="41" borderId="0" xfId="146" applyFont="1" applyFill="1"/>
    <xf numFmtId="0" fontId="117" fillId="34" borderId="0" xfId="146" applyFont="1" applyFill="1" applyAlignment="1">
      <alignment vertical="center"/>
    </xf>
    <xf numFmtId="0" fontId="120" fillId="34" borderId="0" xfId="146" applyFont="1" applyFill="1"/>
    <xf numFmtId="0" fontId="117" fillId="34" borderId="0" xfId="146" applyFont="1" applyFill="1" applyAlignment="1">
      <alignment horizontal="left" vertical="center" indent="4"/>
    </xf>
    <xf numFmtId="0" fontId="121" fillId="34" borderId="12" xfId="146" applyFont="1" applyFill="1" applyBorder="1" applyAlignment="1">
      <alignment horizontal="right" vertical="center" wrapText="1"/>
    </xf>
    <xf numFmtId="0" fontId="121" fillId="34" borderId="10" xfId="146" applyFont="1" applyFill="1" applyBorder="1" applyAlignment="1">
      <alignment horizontal="right" vertical="center" wrapText="1"/>
    </xf>
    <xf numFmtId="3" fontId="121" fillId="34" borderId="11" xfId="146" applyNumberFormat="1" applyFont="1" applyFill="1" applyBorder="1" applyAlignment="1">
      <alignment horizontal="right" vertical="center"/>
    </xf>
    <xf numFmtId="3" fontId="121" fillId="34" borderId="13" xfId="146" applyNumberFormat="1" applyFont="1" applyFill="1" applyBorder="1" applyAlignment="1">
      <alignment horizontal="right" vertical="center"/>
    </xf>
    <xf numFmtId="0" fontId="121" fillId="34" borderId="13" xfId="146" applyFont="1" applyFill="1" applyBorder="1" applyAlignment="1">
      <alignment horizontal="right" vertical="center"/>
    </xf>
    <xf numFmtId="0" fontId="117" fillId="0" borderId="0" xfId="146" applyFont="1" applyAlignment="1">
      <alignment vertical="center"/>
    </xf>
    <xf numFmtId="0" fontId="120" fillId="0" borderId="0" xfId="146" applyFont="1"/>
    <xf numFmtId="0" fontId="117" fillId="34" borderId="53" xfId="146" applyFont="1" applyFill="1" applyBorder="1" applyAlignment="1">
      <alignment horizontal="left" vertical="center" indent="6"/>
    </xf>
    <xf numFmtId="3" fontId="117" fillId="34" borderId="53" xfId="146" applyNumberFormat="1" applyFont="1" applyFill="1" applyBorder="1"/>
    <xf numFmtId="3" fontId="117" fillId="34" borderId="0" xfId="146" applyNumberFormat="1" applyFont="1" applyFill="1"/>
    <xf numFmtId="0" fontId="71" fillId="24" borderId="14" xfId="143" applyFont="1" applyFill="1" applyBorder="1" applyAlignment="1">
      <alignment horizontal="center" vertical="center" wrapText="1"/>
    </xf>
    <xf numFmtId="0" fontId="71" fillId="24" borderId="23" xfId="143" applyFont="1" applyFill="1" applyBorder="1" applyAlignment="1">
      <alignment horizontal="center" vertical="center" wrapText="1"/>
    </xf>
    <xf numFmtId="0" fontId="71" fillId="24" borderId="10" xfId="143" applyFont="1" applyFill="1" applyBorder="1" applyAlignment="1">
      <alignment horizontal="center" vertical="center" wrapText="1"/>
    </xf>
    <xf numFmtId="0" fontId="71" fillId="24" borderId="14" xfId="143" applyFont="1" applyFill="1" applyBorder="1" applyAlignment="1">
      <alignment horizontal="center"/>
    </xf>
    <xf numFmtId="0" fontId="71" fillId="24" borderId="23" xfId="143" applyFont="1" applyFill="1" applyBorder="1" applyAlignment="1">
      <alignment horizontal="center"/>
    </xf>
    <xf numFmtId="0" fontId="71" fillId="24" borderId="10" xfId="143" applyFont="1" applyFill="1" applyBorder="1" applyAlignment="1">
      <alignment horizontal="center"/>
    </xf>
    <xf numFmtId="0" fontId="52" fillId="25" borderId="16" xfId="143" applyFont="1" applyFill="1" applyBorder="1" applyAlignment="1">
      <alignment horizontal="center" vertical="center" wrapText="1"/>
    </xf>
    <xf numFmtId="0" fontId="52" fillId="25" borderId="11" xfId="143" applyFont="1" applyFill="1" applyBorder="1" applyAlignment="1">
      <alignment horizontal="center" vertical="center" wrapText="1"/>
    </xf>
    <xf numFmtId="0" fontId="52" fillId="25" borderId="16" xfId="143" applyFont="1" applyFill="1" applyBorder="1" applyAlignment="1">
      <alignment horizontal="center" vertical="center"/>
    </xf>
    <xf numFmtId="0" fontId="52" fillId="25" borderId="11" xfId="143" applyFont="1" applyFill="1" applyBorder="1" applyAlignment="1">
      <alignment horizontal="center" vertical="center"/>
    </xf>
    <xf numFmtId="0" fontId="58" fillId="25" borderId="14" xfId="143" applyFont="1" applyFill="1" applyBorder="1" applyAlignment="1">
      <alignment vertical="center"/>
    </xf>
    <xf numFmtId="0" fontId="58" fillId="25" borderId="10" xfId="143" applyFont="1" applyFill="1" applyBorder="1" applyAlignment="1">
      <alignment vertical="center"/>
    </xf>
    <xf numFmtId="0" fontId="57" fillId="25" borderId="0" xfId="0" applyFont="1" applyFill="1" applyAlignment="1">
      <alignment horizontal="center"/>
    </xf>
    <xf numFmtId="0" fontId="57" fillId="25" borderId="20" xfId="0" applyFont="1" applyFill="1" applyBorder="1" applyAlignment="1">
      <alignment horizontal="center"/>
    </xf>
    <xf numFmtId="0" fontId="55" fillId="25" borderId="29" xfId="0" applyFont="1" applyFill="1" applyBorder="1" applyAlignment="1">
      <alignment horizontal="center"/>
    </xf>
    <xf numFmtId="0" fontId="58" fillId="25" borderId="14" xfId="146" applyFont="1" applyFill="1" applyBorder="1" applyAlignment="1">
      <alignment horizontal="center" vertical="center"/>
    </xf>
    <xf numFmtId="0" fontId="38" fillId="25" borderId="23" xfId="146" applyFont="1" applyFill="1" applyBorder="1" applyAlignment="1">
      <alignment horizontal="center" vertical="center"/>
    </xf>
    <xf numFmtId="0" fontId="38" fillId="25" borderId="10" xfId="146" applyFont="1" applyFill="1" applyBorder="1" applyAlignment="1">
      <alignment horizontal="center" vertical="center"/>
    </xf>
    <xf numFmtId="0" fontId="58" fillId="25" borderId="34" xfId="146" applyFont="1" applyFill="1" applyBorder="1" applyAlignment="1">
      <alignment horizontal="center" vertical="center"/>
    </xf>
    <xf numFmtId="0" fontId="2" fillId="25" borderId="43" xfId="146" applyFill="1" applyBorder="1" applyAlignment="1">
      <alignment horizontal="center"/>
    </xf>
    <xf numFmtId="0" fontId="2" fillId="25" borderId="44" xfId="146" applyFill="1" applyBorder="1" applyAlignment="1">
      <alignment horizontal="center"/>
    </xf>
    <xf numFmtId="0" fontId="12" fillId="0" borderId="53" xfId="0" applyFont="1" applyBorder="1" applyAlignment="1">
      <alignment horizontal="left"/>
    </xf>
    <xf numFmtId="0" fontId="90" fillId="0" borderId="0" xfId="0" applyFont="1" applyAlignment="1">
      <alignment horizontal="left" vertical="center" wrapText="1"/>
    </xf>
    <xf numFmtId="0" fontId="12" fillId="0" borderId="0" xfId="0" applyFont="1" applyAlignment="1">
      <alignment horizontal="left" wrapText="1"/>
    </xf>
    <xf numFmtId="0" fontId="12" fillId="0" borderId="21" xfId="0" applyFont="1" applyBorder="1" applyAlignment="1">
      <alignment horizontal="left"/>
    </xf>
    <xf numFmtId="0" fontId="89" fillId="25" borderId="14" xfId="146" applyFont="1" applyFill="1" applyBorder="1" applyAlignment="1">
      <alignment horizontal="center"/>
    </xf>
    <xf numFmtId="0" fontId="50" fillId="25" borderId="10" xfId="146" applyFont="1" applyFill="1" applyBorder="1" applyAlignment="1">
      <alignment horizontal="center"/>
    </xf>
    <xf numFmtId="0" fontId="53" fillId="25" borderId="14" xfId="146" applyFont="1" applyFill="1" applyBorder="1" applyAlignment="1">
      <alignment horizontal="center" vertical="center" wrapText="1"/>
    </xf>
    <xf numFmtId="0" fontId="53" fillId="25" borderId="10" xfId="146" applyFont="1" applyFill="1" applyBorder="1" applyAlignment="1">
      <alignment horizontal="center" vertical="center" wrapText="1"/>
    </xf>
    <xf numFmtId="0" fontId="38" fillId="34" borderId="14" xfId="146" applyFont="1" applyFill="1" applyBorder="1" applyAlignment="1">
      <alignment vertical="center"/>
    </xf>
    <xf numFmtId="0" fontId="38" fillId="34" borderId="10" xfId="146" applyFont="1" applyFill="1" applyBorder="1" applyAlignment="1">
      <alignment vertical="center"/>
    </xf>
    <xf numFmtId="0" fontId="59" fillId="34" borderId="0" xfId="146" applyFont="1" applyFill="1" applyAlignment="1">
      <alignment horizontal="left" vertical="center" wrapText="1" indent="1"/>
    </xf>
    <xf numFmtId="0" fontId="38" fillId="34" borderId="14" xfId="146" applyFont="1" applyFill="1" applyBorder="1" applyAlignment="1">
      <alignment horizontal="center" vertical="center"/>
    </xf>
    <xf numFmtId="0" fontId="38" fillId="34" borderId="23" xfId="146" applyFont="1" applyFill="1" applyBorder="1" applyAlignment="1">
      <alignment horizontal="center" vertical="center"/>
    </xf>
    <xf numFmtId="0" fontId="38" fillId="34" borderId="10" xfId="146" applyFont="1" applyFill="1" applyBorder="1" applyAlignment="1">
      <alignment horizontal="center" vertical="center"/>
    </xf>
    <xf numFmtId="37" fontId="2" fillId="36" borderId="0" xfId="149" applyNumberFormat="1" applyFill="1" applyAlignment="1">
      <alignment horizontal="center" vertical="top" wrapText="1"/>
    </xf>
    <xf numFmtId="0" fontId="52" fillId="34" borderId="14" xfId="146" applyFont="1" applyFill="1" applyBorder="1" applyAlignment="1">
      <alignment horizontal="center" vertical="center"/>
    </xf>
    <xf numFmtId="0" fontId="52" fillId="34" borderId="10" xfId="146" applyFont="1" applyFill="1" applyBorder="1" applyAlignment="1">
      <alignment horizontal="center" vertical="center"/>
    </xf>
    <xf numFmtId="0" fontId="38" fillId="34" borderId="67" xfId="146" applyFont="1" applyFill="1" applyBorder="1" applyAlignment="1">
      <alignment horizontal="center" vertical="center"/>
    </xf>
    <xf numFmtId="0" fontId="38" fillId="34" borderId="68" xfId="146" applyFont="1" applyFill="1" applyBorder="1" applyAlignment="1">
      <alignment horizontal="center" vertical="center"/>
    </xf>
    <xf numFmtId="0" fontId="38" fillId="34" borderId="69" xfId="146" applyFont="1" applyFill="1" applyBorder="1" applyAlignment="1">
      <alignment horizontal="center" vertical="center"/>
    </xf>
    <xf numFmtId="0" fontId="52" fillId="34" borderId="67" xfId="146" applyFont="1" applyFill="1" applyBorder="1" applyAlignment="1">
      <alignment horizontal="center" vertical="center"/>
    </xf>
    <xf numFmtId="0" fontId="52" fillId="34" borderId="68" xfId="146" applyFont="1" applyFill="1" applyBorder="1" applyAlignment="1">
      <alignment horizontal="center" vertical="center"/>
    </xf>
    <xf numFmtId="0" fontId="52" fillId="34" borderId="69" xfId="146" applyFont="1" applyFill="1" applyBorder="1" applyAlignment="1">
      <alignment horizontal="center" vertical="center"/>
    </xf>
    <xf numFmtId="0" fontId="79" fillId="31" borderId="56" xfId="146" applyFont="1" applyFill="1" applyBorder="1" applyAlignment="1">
      <alignment horizontal="center"/>
    </xf>
    <xf numFmtId="0" fontId="79" fillId="31" borderId="60" xfId="146" applyFont="1" applyFill="1" applyBorder="1" applyAlignment="1">
      <alignment horizontal="center"/>
    </xf>
    <xf numFmtId="0" fontId="79" fillId="31" borderId="50" xfId="146" applyFont="1" applyFill="1" applyBorder="1" applyAlignment="1">
      <alignment horizontal="center"/>
    </xf>
    <xf numFmtId="0" fontId="79" fillId="31" borderId="44" xfId="146" applyFont="1" applyFill="1" applyBorder="1" applyAlignment="1">
      <alignment horizontal="center"/>
    </xf>
    <xf numFmtId="0" fontId="38" fillId="25" borderId="0" xfId="153" applyFont="1" applyFill="1" applyAlignment="1">
      <alignment horizontal="left" vertical="center" wrapText="1"/>
    </xf>
    <xf numFmtId="0" fontId="122" fillId="0" borderId="0" xfId="155" applyFont="1" applyAlignment="1">
      <alignment horizontal="center"/>
    </xf>
    <xf numFmtId="0" fontId="1" fillId="0" borderId="0" xfId="155"/>
    <xf numFmtId="0" fontId="123" fillId="0" borderId="0" xfId="155" applyFont="1"/>
    <xf numFmtId="0" fontId="124" fillId="0" borderId="0" xfId="155" applyFont="1" applyAlignment="1">
      <alignment horizontal="center"/>
    </xf>
    <xf numFmtId="0" fontId="1" fillId="0" borderId="0" xfId="155" applyAlignment="1">
      <alignment horizontal="right" vertical="top" indent="1"/>
    </xf>
    <xf numFmtId="0" fontId="125" fillId="0" borderId="0" xfId="155" applyFont="1" applyAlignment="1">
      <alignment horizontal="left" wrapText="1"/>
    </xf>
    <xf numFmtId="0" fontId="125" fillId="0" borderId="0" xfId="155" applyFont="1"/>
    <xf numFmtId="0" fontId="126" fillId="0" borderId="0" xfId="156"/>
    <xf numFmtId="0" fontId="127" fillId="0" borderId="0" xfId="155" applyFont="1" applyAlignment="1">
      <alignment horizontal="left"/>
    </xf>
    <xf numFmtId="0" fontId="127" fillId="0" borderId="0" xfId="155" applyFont="1" applyAlignment="1">
      <alignment horizontal="center"/>
    </xf>
    <xf numFmtId="0" fontId="127" fillId="0" borderId="0" xfId="155" applyFont="1" applyAlignment="1">
      <alignment horizontal="right"/>
    </xf>
  </cellXfs>
  <cellStyles count="157">
    <cellStyle name="=C:\WINDOWS\SYSTEM32\COMMAND.COM" xfId="1" xr:uid="{00000000-0005-0000-0000-000000000000}"/>
    <cellStyle name="=C:\WINDOWS\SYSTEM32\COMMAND.COM 2" xfId="103" xr:uid="{00000000-0005-0000-0000-000001000000}"/>
    <cellStyle name="20% - Accent1" xfId="2" builtinId="30" customBuiltin="1"/>
    <cellStyle name="20% - Accent1 2" xfId="3" xr:uid="{00000000-0005-0000-0000-000003000000}"/>
    <cellStyle name="20% - Accent2" xfId="4" builtinId="34" customBuiltin="1"/>
    <cellStyle name="20% - Accent2 2" xfId="5" xr:uid="{00000000-0005-0000-0000-000005000000}"/>
    <cellStyle name="20% - Accent3" xfId="6" builtinId="38" customBuiltin="1"/>
    <cellStyle name="20% - Accent3 2" xfId="7" xr:uid="{00000000-0005-0000-0000-000007000000}"/>
    <cellStyle name="20% - Accent4" xfId="8" builtinId="42" customBuiltin="1"/>
    <cellStyle name="20% - Accent4 2" xfId="9" xr:uid="{00000000-0005-0000-0000-000009000000}"/>
    <cellStyle name="20% - Accent5" xfId="10" builtinId="46" customBuiltin="1"/>
    <cellStyle name="20% - Accent5 2" xfId="11" xr:uid="{00000000-0005-0000-0000-00000B000000}"/>
    <cellStyle name="20% - Accent6" xfId="12" builtinId="50" customBuiltin="1"/>
    <cellStyle name="20% - Accent6 2" xfId="13" xr:uid="{00000000-0005-0000-0000-00000D000000}"/>
    <cellStyle name="40% - Accent1" xfId="14" builtinId="31" customBuiltin="1"/>
    <cellStyle name="40% - Accent1 2" xfId="15" xr:uid="{00000000-0005-0000-0000-00000F000000}"/>
    <cellStyle name="40% - Accent2" xfId="16" builtinId="35" customBuiltin="1"/>
    <cellStyle name="40% - Accent2 2" xfId="17" xr:uid="{00000000-0005-0000-0000-000011000000}"/>
    <cellStyle name="40% - Accent3" xfId="18" builtinId="39" customBuiltin="1"/>
    <cellStyle name="40% - Accent3 2" xfId="19" xr:uid="{00000000-0005-0000-0000-000013000000}"/>
    <cellStyle name="40% - Accent4" xfId="20" builtinId="43" customBuiltin="1"/>
    <cellStyle name="40% - Accent4 2" xfId="21" xr:uid="{00000000-0005-0000-0000-000015000000}"/>
    <cellStyle name="40% - Accent5" xfId="22" builtinId="47" customBuiltin="1"/>
    <cellStyle name="40% - Accent5 2" xfId="23" xr:uid="{00000000-0005-0000-0000-000017000000}"/>
    <cellStyle name="40% - Accent6" xfId="24" builtinId="51" customBuiltin="1"/>
    <cellStyle name="40% - Accent6 2" xfId="25" xr:uid="{00000000-0005-0000-0000-000019000000}"/>
    <cellStyle name="60% - Accent1" xfId="26" builtinId="32" customBuiltin="1"/>
    <cellStyle name="60% - Accent1 2" xfId="27" xr:uid="{00000000-0005-0000-0000-00001B000000}"/>
    <cellStyle name="60% - Accent2" xfId="28" builtinId="36" customBuiltin="1"/>
    <cellStyle name="60% - Accent2 2" xfId="29" xr:uid="{00000000-0005-0000-0000-00001D000000}"/>
    <cellStyle name="60% - Accent3" xfId="30" builtinId="40" customBuiltin="1"/>
    <cellStyle name="60% - Accent3 2" xfId="31" xr:uid="{00000000-0005-0000-0000-00001F000000}"/>
    <cellStyle name="60% - Accent4" xfId="32" builtinId="44" customBuiltin="1"/>
    <cellStyle name="60% - Accent4 2" xfId="33" xr:uid="{00000000-0005-0000-0000-000021000000}"/>
    <cellStyle name="60% - Accent5" xfId="34" builtinId="48" customBuiltin="1"/>
    <cellStyle name="60% - Accent5 2" xfId="35" xr:uid="{00000000-0005-0000-0000-000023000000}"/>
    <cellStyle name="60% - Accent6" xfId="36" builtinId="52" customBuiltin="1"/>
    <cellStyle name="60% - Accent6 2" xfId="37" xr:uid="{00000000-0005-0000-0000-000025000000}"/>
    <cellStyle name="Accent1" xfId="38" builtinId="29" customBuiltin="1"/>
    <cellStyle name="Accent1 2" xfId="39" xr:uid="{00000000-0005-0000-0000-000027000000}"/>
    <cellStyle name="Accent2" xfId="40" builtinId="33" customBuiltin="1"/>
    <cellStyle name="Accent2 2" xfId="41" xr:uid="{00000000-0005-0000-0000-000029000000}"/>
    <cellStyle name="Accent3" xfId="42" builtinId="37" customBuiltin="1"/>
    <cellStyle name="Accent3 2" xfId="43" xr:uid="{00000000-0005-0000-0000-00002B000000}"/>
    <cellStyle name="Accent4" xfId="44" builtinId="41" customBuiltin="1"/>
    <cellStyle name="Accent4 2" xfId="45" xr:uid="{00000000-0005-0000-0000-00002D000000}"/>
    <cellStyle name="Accent5" xfId="46" builtinId="45" customBuiltin="1"/>
    <cellStyle name="Accent5 2" xfId="47" xr:uid="{00000000-0005-0000-0000-00002F000000}"/>
    <cellStyle name="Accent6" xfId="48" builtinId="49" customBuiltin="1"/>
    <cellStyle name="Accent6 2" xfId="49" xr:uid="{00000000-0005-0000-0000-000031000000}"/>
    <cellStyle name="Bad" xfId="50" builtinId="27" customBuiltin="1"/>
    <cellStyle name="Bad 2" xfId="51" xr:uid="{00000000-0005-0000-0000-000033000000}"/>
    <cellStyle name="Calculation" xfId="52" builtinId="22" customBuiltin="1"/>
    <cellStyle name="Calculation 2" xfId="53" xr:uid="{00000000-0005-0000-0000-000035000000}"/>
    <cellStyle name="Check Cell" xfId="54" builtinId="23" customBuiltin="1"/>
    <cellStyle name="Check Cell 2" xfId="55" xr:uid="{00000000-0005-0000-0000-000037000000}"/>
    <cellStyle name="Comma 11" xfId="148" xr:uid="{F8EC1CF4-E0C6-4A87-9278-BD5930A85DE3}"/>
    <cellStyle name="Comma 2" xfId="56" xr:uid="{00000000-0005-0000-0000-000038000000}"/>
    <cellStyle name="Comma 2 2" xfId="130" xr:uid="{94D9B5CE-415D-4D58-8F7A-8725C158A998}"/>
    <cellStyle name="Comma 2 2 2" xfId="132" xr:uid="{2E78B891-0889-4615-BAB5-668A78149FF2}"/>
    <cellStyle name="Comma 2 3" xfId="135" xr:uid="{4437D114-8E46-49AD-B43E-60E7A3733FBA}"/>
    <cellStyle name="Comma 2 4" xfId="147" xr:uid="{70038EB4-7A93-4B8D-A4C1-91378564CE16}"/>
    <cellStyle name="Comma 3" xfId="57" xr:uid="{00000000-0005-0000-0000-000039000000}"/>
    <cellStyle name="Comma 3 2" xfId="107" xr:uid="{7621AEE5-1D9C-4F74-BB73-0EAC57868B5D}"/>
    <cellStyle name="Comma 3 2 2" xfId="152" xr:uid="{FD8487B9-6EC6-42D5-AC6C-50F215245B55}"/>
    <cellStyle name="Comma 4" xfId="58" xr:uid="{00000000-0005-0000-0000-00003A000000}"/>
    <cellStyle name="Comma 4 2" xfId="108" xr:uid="{202CAE3B-4518-4CD5-8002-CF0DB5380660}"/>
    <cellStyle name="Comma 5" xfId="59" xr:uid="{00000000-0005-0000-0000-00003B000000}"/>
    <cellStyle name="Comma 5 2" xfId="109" xr:uid="{82584A29-87C4-43BA-B3CA-B4B54945BBBA}"/>
    <cellStyle name="Comma 6" xfId="60" xr:uid="{00000000-0005-0000-0000-00003C000000}"/>
    <cellStyle name="Comma 6 2" xfId="110" xr:uid="{87465DE6-8918-489C-8C81-CBBFE44ABA6B}"/>
    <cellStyle name="Comma 7" xfId="61" xr:uid="{00000000-0005-0000-0000-00003D000000}"/>
    <cellStyle name="Comma 8" xfId="123" xr:uid="{CDF6CEEE-5305-46D7-B063-C335172F3B0A}"/>
    <cellStyle name="Comma 8 2" xfId="125" xr:uid="{B5C2044D-D9A5-49AF-A8EE-6244F32F7D5E}"/>
    <cellStyle name="Comma 9" xfId="154" xr:uid="{3E99D5D7-6D05-4E53-B6F2-77B4368D8817}"/>
    <cellStyle name="Currency 2" xfId="62" xr:uid="{00000000-0005-0000-0000-00003E000000}"/>
    <cellStyle name="Currency 2 2" xfId="111" xr:uid="{52C4EC86-5E40-4ECD-9824-A974A5EEBD51}"/>
    <cellStyle name="Currency 2 3" xfId="131" xr:uid="{9592FF02-D873-488E-A9FA-B5107621DE27}"/>
    <cellStyle name="Currency 2 4" xfId="134" xr:uid="{03268FD3-DB37-456C-9E31-EF57520AA662}"/>
    <cellStyle name="Currency 3" xfId="63" xr:uid="{00000000-0005-0000-0000-00003F000000}"/>
    <cellStyle name="Currency 3 2" xfId="112" xr:uid="{83DBC15D-3057-447C-89F5-26616D93B02F}"/>
    <cellStyle name="Currency 4" xfId="64" xr:uid="{00000000-0005-0000-0000-000040000000}"/>
    <cellStyle name="Currency 4 2" xfId="113" xr:uid="{5481448A-E3AF-4E4F-9976-893B483FF9E1}"/>
    <cellStyle name="Explanatory Text" xfId="65" builtinId="53" customBuiltin="1"/>
    <cellStyle name="Explanatory Text 2" xfId="66" xr:uid="{00000000-0005-0000-0000-000042000000}"/>
    <cellStyle name="Good" xfId="67" builtinId="26" customBuiltin="1"/>
    <cellStyle name="Good 2" xfId="68" xr:uid="{00000000-0005-0000-0000-000044000000}"/>
    <cellStyle name="Good 3" xfId="151" xr:uid="{328C230F-3550-4402-9DB3-D4BFDBD6045B}"/>
    <cellStyle name="Heading 1" xfId="69" builtinId="16" customBuiltin="1"/>
    <cellStyle name="Heading 1 2" xfId="70" xr:uid="{00000000-0005-0000-0000-000046000000}"/>
    <cellStyle name="Heading 2" xfId="71" builtinId="17" customBuiltin="1"/>
    <cellStyle name="Heading 2 2" xfId="72" xr:uid="{00000000-0005-0000-0000-000048000000}"/>
    <cellStyle name="Heading 3" xfId="73" builtinId="18" customBuiltin="1"/>
    <cellStyle name="Heading 3 2" xfId="74" xr:uid="{00000000-0005-0000-0000-00004A000000}"/>
    <cellStyle name="Heading 4" xfId="75" builtinId="19" customBuiltin="1"/>
    <cellStyle name="Heading 4 2" xfId="76" xr:uid="{00000000-0005-0000-0000-00004C000000}"/>
    <cellStyle name="Hyperlink" xfId="156" builtinId="8"/>
    <cellStyle name="Input" xfId="77" builtinId="20" customBuiltin="1"/>
    <cellStyle name="Input 2" xfId="78" xr:uid="{00000000-0005-0000-0000-00004E000000}"/>
    <cellStyle name="Linked Cell" xfId="79" builtinId="24" customBuiltin="1"/>
    <cellStyle name="Linked Cell 2" xfId="80" xr:uid="{00000000-0005-0000-0000-000050000000}"/>
    <cellStyle name="Neutral" xfId="81" builtinId="28" customBuiltin="1"/>
    <cellStyle name="Neutral 2" xfId="82" xr:uid="{00000000-0005-0000-0000-000052000000}"/>
    <cellStyle name="Normal" xfId="0" builtinId="0"/>
    <cellStyle name="Normal 10" xfId="124" xr:uid="{B5FFC661-E3CA-4A28-AD66-C75D6469FCFF}"/>
    <cellStyle name="Normal 11" xfId="143" xr:uid="{E47C68B4-2946-4A4D-8450-D785C930BC14}"/>
    <cellStyle name="Normal 12" xfId="146" xr:uid="{7002048F-67C0-48E1-9805-D911CEA2F5A2}"/>
    <cellStyle name="Normal 2" xfId="83" xr:uid="{00000000-0005-0000-0000-000054000000}"/>
    <cellStyle name="Normal 2 2" xfId="84" xr:uid="{00000000-0005-0000-0000-000055000000}"/>
    <cellStyle name="Normal 2 2 2" xfId="138" xr:uid="{7D183D2F-5818-42DF-81E0-4C587B961767}"/>
    <cellStyle name="Normal 2 3" xfId="129" xr:uid="{AD19997B-77EC-44D0-885A-28982CA1A6D3}"/>
    <cellStyle name="Normal 2 4" xfId="133" xr:uid="{043D3C50-E266-4E80-8CC7-E176048A5BFD}"/>
    <cellStyle name="Normal 2 5" xfId="145" xr:uid="{9597EC20-6606-41B4-A174-A0F8BC939750}"/>
    <cellStyle name="Normal 2_AFE201112_LO3_JZH_1_GO_v2" xfId="85" xr:uid="{00000000-0005-0000-0000-000056000000}"/>
    <cellStyle name="Normal 3" xfId="86" xr:uid="{00000000-0005-0000-0000-000057000000}"/>
    <cellStyle name="Normal 3 2" xfId="137" xr:uid="{301F5F16-B793-4E33-970C-CBBB10DC432A}"/>
    <cellStyle name="Normal 4" xfId="87" xr:uid="{00000000-0005-0000-0000-000058000000}"/>
    <cellStyle name="Normal 4 2" xfId="136" xr:uid="{E009F911-D19E-4280-A169-757BF6DD251E}"/>
    <cellStyle name="Normal 5" xfId="105" xr:uid="{AA942E21-827A-4DB0-82AF-44538EDEAB00}"/>
    <cellStyle name="Normal 5 2" xfId="118" xr:uid="{62E6BF57-E42A-401C-ADA0-009B81EA7EFE}"/>
    <cellStyle name="Normal 5 3" xfId="121" xr:uid="{D2054E9D-ABE3-4B11-AEB5-FC289969F285}"/>
    <cellStyle name="Normal 6" xfId="106" xr:uid="{04C0CDEB-5123-4201-9032-23340C2F1BB3}"/>
    <cellStyle name="Normal 6 2" xfId="119" xr:uid="{99F3FE95-C814-491C-8991-A46B3C4D8D7F}"/>
    <cellStyle name="Normal 6 2 2" xfId="126" xr:uid="{B8DFD260-4A72-4A00-AE52-B96E9A7AFA6A}"/>
    <cellStyle name="Normal 6 3" xfId="120" xr:uid="{FC7A31AF-760A-409E-B64C-247B5857C595}"/>
    <cellStyle name="Normal 6 4" xfId="141" xr:uid="{507C04A6-E2DF-4A80-BCF5-CBA6E820A6CD}"/>
    <cellStyle name="Normal 6 5" xfId="144" xr:uid="{1A50035C-71E5-42E6-A831-5A9F76FCFCA9}"/>
    <cellStyle name="Normal 7" xfId="139" xr:uid="{AA6FFDFC-9029-4308-B82B-E194F2339B46}"/>
    <cellStyle name="Normal 7 2" xfId="153" xr:uid="{D48BF838-B5D4-44C7-A2B1-20EE674DDBD7}"/>
    <cellStyle name="Normal 7 3" xfId="155" xr:uid="{19FDF9CC-FD35-41EB-8BB0-CFCE0F833277}"/>
    <cellStyle name="Normal 8" xfId="140" xr:uid="{00471C40-1DDF-4F1E-94B4-FAE46B8C92FB}"/>
    <cellStyle name="Normal 8 2" xfId="149" xr:uid="{A173CEBF-4123-4A5D-AC7A-F0DDF2104760}"/>
    <cellStyle name="Normal 9" xfId="142" xr:uid="{50B651C0-E5F1-4107-B979-8C3FB0FB3A81}"/>
    <cellStyle name="Note" xfId="88" builtinId="10" customBuiltin="1"/>
    <cellStyle name="Note 2" xfId="89" xr:uid="{00000000-0005-0000-0000-00005A000000}"/>
    <cellStyle name="Output" xfId="90" builtinId="21" customBuiltin="1"/>
    <cellStyle name="Output 2" xfId="91" xr:uid="{00000000-0005-0000-0000-00005C000000}"/>
    <cellStyle name="Percent 2" xfId="92" xr:uid="{00000000-0005-0000-0000-00005D000000}"/>
    <cellStyle name="Percent 2 2" xfId="128" xr:uid="{558D6871-B7AE-4FDF-B2B6-D57EFFE4F675}"/>
    <cellStyle name="Percent 3" xfId="93" xr:uid="{00000000-0005-0000-0000-00005E000000}"/>
    <cellStyle name="Percent 3 2" xfId="114" xr:uid="{134A39CE-D492-4F6A-B515-3286B87EAAD1}"/>
    <cellStyle name="Percent 4" xfId="94" xr:uid="{00000000-0005-0000-0000-00005F000000}"/>
    <cellStyle name="Percent 4 2" xfId="115" xr:uid="{FE1AD74E-7C3E-4D3A-8599-DE4F64C9FC66}"/>
    <cellStyle name="Percent 5" xfId="95" xr:uid="{00000000-0005-0000-0000-000060000000}"/>
    <cellStyle name="Percent 5 2" xfId="116" xr:uid="{7BB1490C-3470-4499-9542-06243BCBA1CA}"/>
    <cellStyle name="Percent 6" xfId="96" xr:uid="{00000000-0005-0000-0000-000061000000}"/>
    <cellStyle name="Percent 6 2" xfId="117" xr:uid="{EBBE0127-BAC8-4940-A543-7B275E9DA161}"/>
    <cellStyle name="Percent 7" xfId="104" xr:uid="{00000000-0005-0000-0000-000062000000}"/>
    <cellStyle name="Percent 8" xfId="122" xr:uid="{7BED8E63-C4C0-47F7-BC02-E210DEE5CDB5}"/>
    <cellStyle name="Percent 8 2" xfId="127" xr:uid="{9D1888C7-39B0-4A71-B911-5D1E15FB9EF0}"/>
    <cellStyle name="Percent 9" xfId="150" xr:uid="{E79D124A-3CA3-42B7-8743-04C7A867FAFF}"/>
    <cellStyle name="Title" xfId="97" builtinId="15" customBuiltin="1"/>
    <cellStyle name="Title 2" xfId="98" xr:uid="{00000000-0005-0000-0000-000064000000}"/>
    <cellStyle name="Total" xfId="99" builtinId="25" customBuiltin="1"/>
    <cellStyle name="Total 2" xfId="100" xr:uid="{00000000-0005-0000-0000-000066000000}"/>
    <cellStyle name="Warning Text" xfId="101" builtinId="11" customBuiltin="1"/>
    <cellStyle name="Warning Text 2" xfId="102" xr:uid="{00000000-0005-0000-0000-000068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1DBF1"/>
      <color rgb="FFA9BDE9"/>
      <color rgb="FFD9E2F5"/>
      <color rgb="FFFADFA8"/>
      <color rgb="FFFDF1D9"/>
      <color rgb="FFFF99CC"/>
      <color rgb="FF33CC3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8.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3.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6.xml"/><Relationship Id="rId80"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4.xml"/><Relationship Id="rId75"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7.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5.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404192</xdr:colOff>
      <xdr:row>3</xdr:row>
      <xdr:rowOff>135542</xdr:rowOff>
    </xdr:to>
    <xdr:pic>
      <xdr:nvPicPr>
        <xdr:cNvPr id="2" name="Picture 1">
          <a:extLst>
            <a:ext uri="{FF2B5EF4-FFF2-40B4-BE49-F238E27FC236}">
              <a16:creationId xmlns:a16="http://schemas.microsoft.com/office/drawing/2014/main" id="{CD63E63B-662F-4B4F-8311-C8B3C548FB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71451"/>
          <a:ext cx="1524000" cy="50701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8786943C-FCDB-47CC-BEE5-3229641AC85B}"/>
            </a:ext>
          </a:extLst>
        </xdr:cNvPr>
        <xdr:cNvCxnSpPr/>
      </xdr:nvCxnSpPr>
      <xdr:spPr>
        <a:xfrm>
          <a:off x="285750" y="173355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59D46FB9-BD38-4F2B-BDF7-9228EDDA74F4}"/>
            </a:ext>
          </a:extLst>
        </xdr:cNvPr>
        <xdr:cNvCxnSpPr/>
      </xdr:nvCxnSpPr>
      <xdr:spPr>
        <a:xfrm>
          <a:off x="295275" y="88392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323850</xdr:colOff>
      <xdr:row>16</xdr:row>
      <xdr:rowOff>38100</xdr:rowOff>
    </xdr:to>
    <xdr:pic>
      <xdr:nvPicPr>
        <xdr:cNvPr id="2" name="Picture 1">
          <a:extLst>
            <a:ext uri="{FF2B5EF4-FFF2-40B4-BE49-F238E27FC236}">
              <a16:creationId xmlns:a16="http://schemas.microsoft.com/office/drawing/2014/main" id="{9E9082B7-4107-4CAE-8324-E37DA8EF1A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3086100"/>
          <a:ext cx="5067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596901</xdr:colOff>
      <xdr:row>8</xdr:row>
      <xdr:rowOff>95250</xdr:rowOff>
    </xdr:from>
    <xdr:to>
      <xdr:col>9</xdr:col>
      <xdr:colOff>558801</xdr:colOff>
      <xdr:row>13</xdr:row>
      <xdr:rowOff>179631</xdr:rowOff>
    </xdr:to>
    <xdr:pic>
      <xdr:nvPicPr>
        <xdr:cNvPr id="2" name="Picture 1">
          <a:extLst>
            <a:ext uri="{FF2B5EF4-FFF2-40B4-BE49-F238E27FC236}">
              <a16:creationId xmlns:a16="http://schemas.microsoft.com/office/drawing/2014/main" id="{1F6E8956-F95A-4882-B10E-2FA5E1D73698}"/>
            </a:ext>
          </a:extLst>
        </xdr:cNvPr>
        <xdr:cNvPicPr>
          <a:picLocks noChangeAspect="1"/>
        </xdr:cNvPicPr>
      </xdr:nvPicPr>
      <xdr:blipFill>
        <a:blip xmlns:r="http://schemas.openxmlformats.org/officeDocument/2006/relationships" r:embed="rId1"/>
        <a:stretch>
          <a:fillRect/>
        </a:stretch>
      </xdr:blipFill>
      <xdr:spPr>
        <a:xfrm>
          <a:off x="3397251" y="2070100"/>
          <a:ext cx="4273550" cy="1100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21</xdr:row>
      <xdr:rowOff>0</xdr:rowOff>
    </xdr:from>
    <xdr:ext cx="1443990" cy="358140"/>
    <xdr:pic>
      <xdr:nvPicPr>
        <xdr:cNvPr id="2" name="Picture 1" descr="A mathematical equation with black text&#10;&#10;Description automatically generated with medium confidence">
          <a:extLst>
            <a:ext uri="{FF2B5EF4-FFF2-40B4-BE49-F238E27FC236}">
              <a16:creationId xmlns:a16="http://schemas.microsoft.com/office/drawing/2014/main" id="{74AF2A2F-542C-4B0E-8769-FBDDE1F42EBC}"/>
            </a:ext>
          </a:extLst>
        </xdr:cNvPr>
        <xdr:cNvPicPr>
          <a:picLocks noChangeAspect="1"/>
        </xdr:cNvPicPr>
      </xdr:nvPicPr>
      <xdr:blipFill>
        <a:blip xmlns:r="http://schemas.openxmlformats.org/officeDocument/2006/relationships" r:embed="rId1"/>
        <a:stretch>
          <a:fillRect/>
        </a:stretch>
      </xdr:blipFill>
      <xdr:spPr>
        <a:xfrm>
          <a:off x="0" y="4133850"/>
          <a:ext cx="1443990" cy="3581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M\CFVM\2006Q2\Deterministic%20Scenarios%20New%20v2\CDN%20Deterministic%20Scenarios\YLDCRV7.5%202006Q2%20I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769372677-my.sharepoint.com/C:/Users/t79bpec/AppData/Local/Temp/notes0AC7F3/SZ-1-2014%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meriprise-my.sharepoint.com/C:/Users/t79bpec/AppData/Local/Temp/notes0AC7F3/SZ-1-2014%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fc-my.sharepoint.com/Users/maggi/Documents/SOA/2022/Draft%20Questions/2022%20Master%20Rubric%20LFM%20CAN.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fc-my.sharepoint.com/Tweety/SOA%20Exam/2022%20PreReview/MP-01-2023.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cagtafsr05/Users/mpromislow/Personal/SOA/QWC%202020/215111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fc-my.sharepoint.com/personal/zadrapa_mfcgd_com/Documents/H%20Drive/data/Exams/LFV/2023/Model%20Solutions%20Fall/2023%20Master%20Rubric%20LFMC%20Fall.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fc-my.sharepoint.com/mpromislow/Personal/SOA/2023%20QWC/Pre%20Review/New%20folder/2023%20Master%20Rubric%20LFM%20CAN.xlsb"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CURATED%20PAST%20EXAMS/Fully%20Assembled/CFE101%20Curated%20Past%20Exam%20Excel%20Files.xlsx" TargetMode="External"/><Relationship Id="rId1" Type="http://schemas.openxmlformats.org/officeDocument/2006/relationships/externalLinkPath" Target="CFE101%20Curated%20Past%20Exam%20Excel%20Fi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alcBase"/>
      <sheetName val="CalcUp"/>
      <sheetName val="CalcDown"/>
      <sheetName val="OutBase"/>
      <sheetName val="OutUp"/>
      <sheetName val="OutDown"/>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Z-1-2013 (MH)"/>
      <sheetName val="syllabus list"/>
      <sheetName val="SZ-1-2013"/>
      <sheetName val="instructions"/>
    </sheetNames>
    <sheetDataSet>
      <sheetData sheetId="0" refreshError="1">
        <row r="9">
          <cell r="B9" t="str">
            <v>CAN-1</v>
          </cell>
        </row>
      </sheetData>
      <sheetData sheetId="1">
        <row r="128">
          <cell r="C128" t="str">
            <v>Retrieval</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Z-1-2013 (MH)"/>
      <sheetName val="syllabus list"/>
      <sheetName val="SZ-1-2013"/>
      <sheetName val="instructions"/>
    </sheetNames>
    <sheetDataSet>
      <sheetData sheetId="0" refreshError="1">
        <row r="9">
          <cell r="B9" t="str">
            <v>CAN-1</v>
          </cell>
        </row>
      </sheetData>
      <sheetData sheetId="1">
        <row r="128">
          <cell r="C128" t="str">
            <v>Retrieval</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syllabus list"/>
      <sheetName val="Fall-Spring Split"/>
      <sheetName val="Summary"/>
      <sheetName val="JZ-2"/>
      <sheetName val="JZ-2 Calc"/>
      <sheetName val="YP-2"/>
      <sheetName val="YP-02 Calc"/>
      <sheetName val="EO-1"/>
      <sheetName val="MBBL-1"/>
      <sheetName val="NCBL-1"/>
      <sheetName val="NC-2"/>
      <sheetName val="NC-2 Calc"/>
      <sheetName val="AH-1"/>
      <sheetName val="BL-2"/>
      <sheetName val="KB-1"/>
      <sheetName val="KB-1 Sol"/>
      <sheetName val="BL-3"/>
      <sheetName val="AH-3"/>
      <sheetName val="AH-3 OLD"/>
      <sheetName val="JDL-2"/>
      <sheetName val="JDL-02(a)"/>
      <sheetName val="JDL-02(c)"/>
      <sheetName val="JDL-1"/>
      <sheetName val="AP-4"/>
      <sheetName val="AP-4 Calc"/>
      <sheetName val="EO-2"/>
      <sheetName val="MBBL-2"/>
      <sheetName val="AP-3"/>
      <sheetName val="AH-2"/>
      <sheetName val="AH-2 Calc"/>
      <sheetName val="KH-1"/>
      <sheetName val="GC-2"/>
      <sheetName val="GC-2 Calc"/>
      <sheetName val="KB-2"/>
      <sheetName val="MN-1"/>
      <sheetName val="MN-1 Calc"/>
    </sheetNames>
    <sheetDataSet>
      <sheetData sheetId="0"/>
      <sheetData sheetId="1"/>
      <sheetData sheetId="2">
        <row r="4">
          <cell r="D4" t="str">
            <v>LO#1 CIA Report: Lapse Experience Study for 10-year Term Insurance, Jan 2014, pp. 6 -32</v>
          </cell>
        </row>
        <row r="5">
          <cell r="D5" t="str">
            <v>LO#1 CIA Research Paper: Lapse Experience under UL Level COI Policies, Sep 2015, pp. 4 - 8</v>
          </cell>
        </row>
        <row r="6">
          <cell r="D6" t="str">
            <v>LO#1 CIA Educational note, Currency Risk in the Valuation of Policy Liabilities for Life and Health Insurers, December 2009</v>
          </cell>
        </row>
        <row r="7">
          <cell r="D7" t="str">
            <v>LO#1 CIA Educational Note, Development of the Equilibrium Risk-Free Market Curve for the Base Scenario, December 2015</v>
          </cell>
        </row>
        <row r="8">
          <cell r="D8" t="str">
            <v xml:space="preserve">LO#1 CIA Educational Note: Approximations to the Canadian Asset Liability Method (CALM): November 2006 </v>
          </cell>
        </row>
        <row r="9">
          <cell r="D9" t="str">
            <v xml:space="preserve">LO#1 CIA Educational Note: Best Estimates Assumptions for Expenses – November 2006 </v>
          </cell>
        </row>
        <row r="10">
          <cell r="D10" t="str">
            <v>LO#1 CIA Educational Note: CALM Implications of AcSB Section 3855 Financial Instruments - Recognition and Measurement (June 2006)</v>
          </cell>
        </row>
        <row r="11">
          <cell r="D11" t="str">
            <v>LO#1 CIA Educational Note: Dividend Determination for Participating Policies, Jan 2014</v>
          </cell>
        </row>
        <row r="12">
          <cell r="D12" t="str">
            <v>LO#1 CIA Educational Note: Expected Mortality: Fully Underwritten Canadian Individual Life Insurance Policies: July 2002 (exclude appendices)</v>
          </cell>
        </row>
        <row r="13">
          <cell r="D13" t="str">
            <v>LO#1 CIA Educational Note: Guidance on Fairness Opinions Required Under the Insurance Companies Act Pursuant to Bill C-57 (2005) Dec 2011</v>
          </cell>
        </row>
        <row r="14">
          <cell r="D14" t="str">
            <v>LO#1 CIA Educational Note: Investment Assumptions Used in the Valuation of Life and Health Insurance Contract Liabilities Sep.2015</v>
          </cell>
        </row>
        <row r="15">
          <cell r="D15" t="str">
            <v>LO#1 CIA Educational Note: Margins for Adverse Deviations (Mfad) – November 2006</v>
          </cell>
        </row>
        <row r="16">
          <cell r="D16" t="str">
            <v xml:space="preserve">LO#1 CIA Educational Note: Reflection of Hedging in Segregated Fund Valuation – May 2012 </v>
          </cell>
        </row>
        <row r="17">
          <cell r="D17" t="str">
            <v>LO#1 CIA Educational Note: Selective Lapsation for Renewable Term Insurance Products, February 2017</v>
          </cell>
        </row>
        <row r="18">
          <cell r="D18" t="str">
            <v xml:space="preserve">LO#1 CIA Educational Note: Valuation of Gross Policy Liabilities and Reinsurance Recoverables (December 2010) </v>
          </cell>
        </row>
        <row r="19">
          <cell r="D19" t="str">
            <v>LO#1 CIA Educational Note: Valuation of Universal Life Policy Liabilities - February 2012</v>
          </cell>
        </row>
        <row r="20">
          <cell r="D20" t="str">
            <v>LO#1 CIA Final Communication of a Promulgation of Prescribed Mortality Improvement Rates (July 2017)</v>
          </cell>
        </row>
        <row r="21">
          <cell r="D21" t="str">
            <v>LO#1 CIA Draft Report: Task Force on Mortality Improvement, April 2017</v>
          </cell>
        </row>
        <row r="22">
          <cell r="D22" t="str">
            <v>LO#1 CIA Research Paper: Calibration of Fixed-Income Returns Segregated Fund Liability April 2014</v>
          </cell>
        </row>
        <row r="23">
          <cell r="D23" t="str">
            <v xml:space="preserve">LO#1 CIA Use of Actuarial Judgment in Setting Assumptions and Margins for Adverse Deviations, November 2006 </v>
          </cell>
        </row>
        <row r="24">
          <cell r="D24" t="str">
            <v xml:space="preserve">LO#1 CIA Educational Note: Valuation of Segregated Fund Investment Guarantees (October 2005) </v>
          </cell>
        </row>
        <row r="25">
          <cell r="D25" t="str">
            <v>LO#1 CIA Education Note: Investment Returns for non-fixed-income returns for Assets, March 2011</v>
          </cell>
        </row>
        <row r="26">
          <cell r="D26" t="str">
            <v>LO#1 Final Communication of Promulgations of the Maximum Net Credit Spread, Ultimate Reinvestment Rates and Calibration Criteria for Stochastic Risk-Free Interest Rates in the Standards of Practice, May 2014 - Section 2 Only</v>
          </cell>
        </row>
        <row r="27">
          <cell r="D27" t="str">
            <v>LO#1 Final Communication of Updated Promulgations of the Ultimate Reinvestment Rates and Calibration Criteria for Stochastic Risk-Free Interest Rates in the Standards of Practice, July 2019</v>
          </cell>
        </row>
        <row r="28">
          <cell r="D28" t="str">
            <v>LO#1 LFM-618-13 OSFI Guideline D-10: Accounting for Financial Instruments Designated as Fair Value Option</v>
          </cell>
        </row>
        <row r="29">
          <cell r="D29" t="str">
            <v>LO#1 LFM-620-14 OSFI Guideline E15: Appointed Actuary -  Legal Requirements, Qualification and External Review (Sep 2012)</v>
          </cell>
        </row>
        <row r="30">
          <cell r="D30" t="str">
            <v>LO#1 LFM-632-12 OSFI B-3 Sound Reinsurance Practices and Procedures</v>
          </cell>
        </row>
        <row r="31">
          <cell r="D31" t="str">
            <v>LO#1 LFM-634-19 CIA Standards of Practice: Insurance  Sections 2100, 2300, 2400, 2500 &amp; 2700,  Dec 2019</v>
          </cell>
        </row>
        <row r="32">
          <cell r="D32" t="str">
            <v>LO#1 LFM-635-13 Participating Account Management and Disclosure to Participating Policyholders and Adjustable Policyholders</v>
          </cell>
        </row>
        <row r="33">
          <cell r="D33" t="str">
            <v>LO#1 LFM-637-13 OSFI Letter evidence for Mean Reversion in Equity Prices</v>
          </cell>
        </row>
        <row r="34">
          <cell r="D34" t="str">
            <v>LO#1 LFM-652-20 Canadian Life and Health Insurance Guidelines (CLHIA) - Guideline G-6 - Illustrations</v>
          </cell>
        </row>
        <row r="35">
          <cell r="D35" t="str">
            <v>LO#1 CIA Report: Report of the Task Force on Segregated Fund Liability and Capital Methodologies (Aug 2010)</v>
          </cell>
        </row>
        <row r="36">
          <cell r="D36" t="str">
            <v>LO#1 CIA Educational Note: Considerations in the Valuation of Segregated Fund Products, Nov 2007</v>
          </cell>
        </row>
        <row r="37">
          <cell r="D37" t="str">
            <v>LO#1 LFMU GAAP Materials Flowchart</v>
          </cell>
        </row>
        <row r="38">
          <cell r="D38" t="str">
            <v>LO#1    Chapter  3:    US GAAP - Expenses and Capitalization (exclude 3.7.1, 3.7.3, 3.11.4.5, and 3.12)</v>
          </cell>
        </row>
        <row r="39">
          <cell r="D39" t="str">
            <v>LO#1    Chapter  4:    US GAAP - Traditional Life Insurance (SFAS 60 &amp; 97) (exclude 4.4 to 4.14)</v>
          </cell>
        </row>
        <row r="40">
          <cell r="D40" t="str">
            <v>LO#1    Chapter  6:    US GAAP - Universal Life Insurance (exclude 6.7 to 6.7.1.6, 6.7.3 to 6.7.6.3, 6.10 to 6.13.2)</v>
          </cell>
        </row>
        <row r="41">
          <cell r="D41" t="str">
            <v>LO#1    Chapter  7:    US GAAP - Deferred Annuities (exclude 7.4.1d, 7.6, 7.8, 7.10, 7.11, 7.13)</v>
          </cell>
        </row>
        <row r="42">
          <cell r="D42" t="str">
            <v>LO#1    Chapter  9:    US GAAP - Annuities in Payment Status (exclude section 9.5)</v>
          </cell>
        </row>
        <row r="43">
          <cell r="D43" t="str">
            <v>LO#1    Chapter 13:   US GAAP - Investment Accounting (exclude 13.7 and 13.12))</v>
          </cell>
        </row>
        <row r="44">
          <cell r="D44" t="str">
            <v>LO#1    Chapter 15:   US GAAP - Accounting for Business Combinations (exclude 15.7.3 to 15.7.8, and 15.10.5 to 15.15)</v>
          </cell>
        </row>
        <row r="45">
          <cell r="D45" t="str">
            <v>LO#1    Chapter 18:   US GAAP - Other Topics: Deferred Taxes and Fair Value Reporting (exclude 18.2, 18.4, and 18.6)</v>
          </cell>
        </row>
        <row r="46">
          <cell r="D46" t="str">
            <v>LO#1 LFM-848-22: A Comprehensive Guide – Reinsurance, E&amp;Y, 2020, (Sections 1, 2, 4, 7, Appendix D)</v>
          </cell>
        </row>
        <row r="47">
          <cell r="D47" t="str">
            <v>LO#1 LFM-149-22: Insurance Contracts, PwC (Accounting Guide for Insurance Contracts), 2020, Sections 1.1 -1.3 (pp 1.2-1.9), 2.1-2.5 (pp 2.2-2.21) 3.1-3.9 (pp 3.2-3.48), 5.1-5.10 (pp 5.2-5.56), and Figures IG 2-1 (pp 2.4-2.6) &amp; IG 2-2 (pp 2.15-2.18)</v>
          </cell>
        </row>
        <row r="48">
          <cell r="D48" t="str">
            <v>LO#1 Implementation Considerations For VA Market Risk Benefits, Financial Reporter, Sep 2019 </v>
          </cell>
        </row>
        <row r="49">
          <cell r="D49" t="str">
            <v>LO#1 LFM-840-20 A Comprehensive Guide - Derivatives and Hedging, E&amp;Y, 2019, (Sections 1.1-1.7, 3.1-3.3, 4.1-4.3, 9.1-9.5, Appendices A and C1.1-4)</v>
          </cell>
        </row>
        <row r="50">
          <cell r="D50" t="str">
            <v>LO#1 LFM-841-20 A Closer Look at How Insurers Will Have to Change their Accounting and Disclosures for Long-Duration Contracts, E&amp;Y, Nov 2018</v>
          </cell>
        </row>
        <row r="51">
          <cell r="D51" t="str">
            <v>LO#1 Targeted Improvements Interactive Model</v>
          </cell>
        </row>
        <row r="52">
          <cell r="D52" t="str">
            <v>LO#2 CIA Educational Note: Comparison of IFRS 17 to Current CIA Standard of Practice, Sept 2018</v>
          </cell>
        </row>
        <row r="53">
          <cell r="D53" t="str">
            <v>LO#2 CIA Educational Note: IFRS 17 Estimates of Future Cash Flows for Life and Health Insurance Contracts, Sep 2019</v>
          </cell>
        </row>
        <row r="54">
          <cell r="D54" t="str">
            <v>LO#2 CIA Educational Note: IFRS 17 Risk Adjustment for Non-Financial Risk for Life and Health Insurance Contracts, Jul 2019</v>
          </cell>
        </row>
        <row r="55">
          <cell r="D55" t="str">
            <v>LO#2 CIA Educational Note: Transition from CALM to IFRS 17 Valuation of Canadian Participating Insurance Contracts, Mar 2019</v>
          </cell>
        </row>
        <row r="56">
          <cell r="D56" t="str">
            <v>LO#2 CIA Educational Note: IFRS 17 Discount Rates for Life and Health Insurance Contracts, Jun 2020</v>
          </cell>
        </row>
        <row r="57">
          <cell r="D57" t="str">
            <v>LO#2 CIA Educational Note: IFRS 17 Coverage Units for Life and Health Insurance Contracts, Dec 2019</v>
          </cell>
        </row>
        <row r="58">
          <cell r="D58" t="str">
            <v>LO#2 CIA Educational Note: IFRS 17 Market Consistent Valuation of Financial Guarantees for Life and Health Insurance Contracts, May 2020</v>
          </cell>
        </row>
        <row r="59">
          <cell r="D59" t="str">
            <v>LO#2 CIA Educational Note: IFRS 17 Measurement and Presentation of Canadian Participating Insurance Contracts, Apr 2021</v>
          </cell>
        </row>
        <row r="60">
          <cell r="D60" t="str">
            <v>LO#2 IFRS 17 Insurance Contracts Example (Spreadsheet Model)</v>
          </cell>
        </row>
        <row r="61">
          <cell r="D61" t="str">
            <v>LO#2 LFM-141-18 IFRS 17 Insurance Contracts – IFRS Standards Effects Analysis, May 2017, IASB (sections 1, 2, 4 &amp; 6.1-2 only)</v>
          </cell>
        </row>
        <row r="62">
          <cell r="D62" t="str">
            <v>LO#2 LFM-655-21: IFRS Standards Exposure Draft Amendments to IFRS 17, Jun 2019</v>
          </cell>
        </row>
        <row r="63">
          <cell r="D63" t="str">
            <v>LO#2 LFM-656-21: PwC In transition: The latest on IFRS 17 implementation, Feb 2020</v>
          </cell>
        </row>
        <row r="64">
          <cell r="D64" t="str">
            <v>LO#2 LFM-649-22: International Actuarial Note 100: Application of IFRS 17 (excluding section C: chapter 11, section D &amp; section E )</v>
          </cell>
        </row>
        <row r="65">
          <cell r="D65" t="str">
            <v>LO#2 LFM-657-22: The IFRS 17 Contractual Service Margin: A Life Insurance Perspective (Sections 1-4.7 &amp; 5)</v>
          </cell>
        </row>
        <row r="66">
          <cell r="D66" t="str">
            <v>LO#2 LFMU PBR Materials Flowchart, 2020</v>
          </cell>
        </row>
        <row r="67">
          <cell r="D67" t="str">
            <v>LO#2 ASOP 52 - Principle-Based Reserves for Life Products under the NAIC Valuation Manual on PBR for Life Products, Section 3</v>
          </cell>
        </row>
        <row r="68">
          <cell r="D68" t="str">
            <v>LO#2 Impacts of AG 48, Financial Reporter, Dec 2015</v>
          </cell>
        </row>
        <row r="69">
          <cell r="D69" t="str">
            <v>LO#2 LFM-143-20 Fundamentals of the Principle Based Approach to Statutory Reserves for Life Insurance, Jul 2019</v>
          </cell>
        </row>
        <row r="70">
          <cell r="D70" t="str">
            <v>LO#2 LFM-800-07 Chapters 8 (pp. 12-16) and 12 (pp.1-15 &amp; 32-33) of IASA Life and Accident and Health Insurance Accounting (excluding Dividends Received Deduction and Operations Loss Deduction subsections under the General Deductions section, the Special Deduction – Small Life Insurance Company Deduction section, and Dividends Received Deduction subsection under the Investment Accounting Rules section)</v>
          </cell>
        </row>
        <row r="71">
          <cell r="D71" t="str">
            <v>LO#2 What's in the "A" of AG 49-A, Financial Reporter, Feb. 2021</v>
          </cell>
        </row>
        <row r="72">
          <cell r="D72" t="str">
            <v>LO#2 LFM-822-16 Study Note on Actuarial Guidelines AG 38 &amp; 48 (exclude pages 6 to 8)</v>
          </cell>
        </row>
        <row r="73">
          <cell r="D73" t="str">
            <v>LO#2 LFM-832-17 AG49 - A Closer Look, LifeTrends, Pfeifer</v>
          </cell>
        </row>
        <row r="74">
          <cell r="D74" t="str">
            <v xml:space="preserve">LO#2 LFM-836-17 AG 49 Post Standards Update </v>
          </cell>
        </row>
        <row r="75">
          <cell r="D75" t="str">
            <v>LO#2 LFM-849-22: Implementation of Requirements for Principle-Based Reserves for Variable Annuities – 2021 Edition of VM-21 (required questions are listed on the first page of this study note)</v>
          </cell>
        </row>
        <row r="76">
          <cell r="D76" t="str">
            <v>LO#2 LFM-843-20 NAIC Life Insurance Illustrations Model Regulation</v>
          </cell>
        </row>
        <row r="77">
          <cell r="D77" t="str">
            <v>LO#2 LFM-844-22: Life Principle-Based Reserves Under VM-20, AAA Practice Note (required questions are listed on the first page of this study note)</v>
          </cell>
        </row>
        <row r="78">
          <cell r="D78" t="str">
            <v>LO#2 Lombardi,  Chapter 1 – Overview of Valuation Concepts (exclude 1.1-9)</v>
          </cell>
        </row>
        <row r="79">
          <cell r="D79" t="str">
            <v>LO#2 Lombardi,  Chapter 10 – Valuation Assumptions (exclude 10.1.3, 10.3.8)</v>
          </cell>
        </row>
        <row r="80">
          <cell r="D80" t="str">
            <v>LO#2 Lombardi,  Chapter 11 – Valuation Methodologies (exclude 11.3.9 to 11.3.11)</v>
          </cell>
        </row>
        <row r="81">
          <cell r="D81" t="str">
            <v xml:space="preserve">LO#2 Lombardi,  Chapter 12 – Whole Life </v>
          </cell>
        </row>
        <row r="82">
          <cell r="D82" t="str">
            <v xml:space="preserve">LO#2 Lombardi,  Chapter 13 – Term Life Insurance </v>
          </cell>
        </row>
        <row r="83">
          <cell r="D83" t="str">
            <v>LO#2 Lombardi,  Chapter 14 – Universal Life (exclude 14.4.8, 14.4.9, 14.5.0, 14.6.2-14.6.6)</v>
          </cell>
        </row>
        <row r="84">
          <cell r="D84" t="str">
            <v>LO#2 Lombardi,  Chapter 16 – Indexed Universal Life (exclude 16.4.2-3)</v>
          </cell>
        </row>
        <row r="85">
          <cell r="D85" t="str">
            <v>LO#2 Lombardi,  Chapter 18 – Fixed Deferred  Annuities (exclude 18.7.4, 18.8)</v>
          </cell>
        </row>
        <row r="86">
          <cell r="D86" t="str">
            <v>LO#2 Lombardi,  Chapter 19 – Variable Deferred Annuities</v>
          </cell>
        </row>
        <row r="87">
          <cell r="D87" t="str">
            <v>LO#2 Lombardi,  Chapter 2 – Product Classifications (2.2 only)</v>
          </cell>
        </row>
        <row r="88">
          <cell r="D88" t="str">
            <v xml:space="preserve">LO#2 Lombardi,  Chapter 20 -- Indexed Deferred Annuities </v>
          </cell>
        </row>
        <row r="89">
          <cell r="D89" t="str">
            <v xml:space="preserve">LO#2 Lombardi,  Chapter 21 – Immediate Annuities </v>
          </cell>
        </row>
        <row r="90">
          <cell r="D90" t="str">
            <v>LO#2 Lombardi,  Chapter 22 – Miscellaneous Reserves (exclude 22.3 to 22.4) </v>
          </cell>
        </row>
        <row r="91">
          <cell r="D91" t="str">
            <v>LO#2 Lombardi,  Chapter 23 – PBR for Life Products (exclude 23.1)</v>
          </cell>
        </row>
        <row r="92">
          <cell r="D92" t="str">
            <v>LO#2 Lombardi, Chapter 24 Addendum for Variable Annuity PBR Updates</v>
          </cell>
        </row>
        <row r="93">
          <cell r="D93" t="str">
            <v>LO#2 Lombardi,  Chapter 3 – NAIC Annual Statement</v>
          </cell>
        </row>
        <row r="94">
          <cell r="D94" t="str">
            <v>LO#2 Lombardi,  Chapter 4 – Standard Valuation Law</v>
          </cell>
        </row>
        <row r="95">
          <cell r="D95" t="str">
            <v>LO#2 Lombardi,  Chapter 5 – The Valuation Manual</v>
          </cell>
        </row>
        <row r="96">
          <cell r="D96" t="str">
            <v>LO#2 PBA Corner: Evolution of VM-20, Financial Reporter, June 2016</v>
          </cell>
        </row>
        <row r="97">
          <cell r="D97" t="str">
            <v>LO#2 Principle-Based Reserves Interactive Model</v>
          </cell>
        </row>
        <row r="98">
          <cell r="D98" t="str">
            <v>LO#2 Reporting and Disclosure Requirements Under  VM-31 Reporting Requirements for Business Subject to PB, Financial Reporter, Sep 2017</v>
          </cell>
        </row>
        <row r="99">
          <cell r="D99" t="str">
            <v xml:space="preserve">LO#3 Canadian Insurance Taxation, 4th Ed: Chapter 10, The Taxation of Life Insurance Policies </v>
          </cell>
        </row>
        <row r="100">
          <cell r="D100" t="str">
            <v>LO#3 Canadian Insurance Taxation, 4th Ed: Chapter 11, The Taxation of Annuites</v>
          </cell>
        </row>
        <row r="101">
          <cell r="D101" t="str">
            <v>LO#3 Canadian Insurance Taxation, 4th Ed: Chapter 24, Provincial Premium Tax,</v>
          </cell>
        </row>
        <row r="102">
          <cell r="D102" t="str">
            <v>LO#3 Canadian Insurance Taxation, 4th Ed: Chapter 3, Liability for Income Tax,</v>
          </cell>
        </row>
        <row r="103">
          <cell r="D103" t="str">
            <v>LO#3 Canadian Insurance Taxation, 4th Ed: Chapter 4, Income for Tax Purposes - General Rules,</v>
          </cell>
        </row>
        <row r="104">
          <cell r="D104" t="str">
            <v>LO#3 Canadian Insurance Taxation, 4th Ed: Chapter 5, Investment Income,</v>
          </cell>
        </row>
        <row r="105">
          <cell r="D105" t="str">
            <v>LO#3 Canadian Insurance Taxation, 4th Ed: Chapter 6, Reserves,</v>
          </cell>
        </row>
        <row r="106">
          <cell r="D106" t="str">
            <v>LO#3 Canadian Insurance Taxation, 4th Ed: Chapter 9, IIT</v>
          </cell>
        </row>
        <row r="107">
          <cell r="D107" t="str">
            <v>LO#3 CIA Educational Note: Future Income and Alternative Taxes excluding Appendix D (Dec. 2012)</v>
          </cell>
        </row>
        <row r="108">
          <cell r="D108" t="str">
            <v xml:space="preserve">LO#3 LFM-845-20 Chapters 1 and 2 of Life Insurance and Modified Endowments Under IRC §7702 and §7702A, Desrochers, 2nd Edition </v>
          </cell>
        </row>
        <row r="109">
          <cell r="D109" t="str">
            <v>LO#3 LFM-846-20 Company Tax – Introductory Study Note</v>
          </cell>
        </row>
        <row r="110">
          <cell r="D110" t="str">
            <v>LO#3 LFM-850-22: Changes to Section 7702 (IRC) and Nonforfeiture Interest Rates, Lewis &amp; Ellis, Jan 2021</v>
          </cell>
        </row>
        <row r="111">
          <cell r="D111" t="str">
            <v>LO#3 Rightsizing the Floor Interest Rate Rules of Sections 7702 and 7702A, Taxing Times, March 2021</v>
          </cell>
        </row>
        <row r="112">
          <cell r="D112" t="str">
            <v>LO#3 The Tax Cuts and Jobs Act of 2017— Effects on Life Insurers, American Academy of Actuaries, Oct 2020</v>
          </cell>
        </row>
        <row r="113">
          <cell r="D113" t="str">
            <v>LO#3 The Impact of BEAT on U.S.-Foreign Affiliated Reinsurance, Taxing Times, Dec 2020</v>
          </cell>
        </row>
        <row r="114">
          <cell r="D114" t="str">
            <v>LO#4 LFM-650-20 FASB in Focus - ACCOUNTING STANDARDS UPDATE NO. 2018-12 Targeted Improvements to the Accounting for Long-Duration Contracts Issued by Insurance Companies</v>
          </cell>
        </row>
        <row r="115">
          <cell r="D115" t="str">
            <v>LO#4 LFM-149-21: Insurance Contracts, PwC (Accounting Guide for Insurance Contracts), 2020, Sections 1.1 (pg 1.2), 3.5 (pp 3.20-3.30), 5.1-5.10 (pp 5.1-5.56); Figures IG 2-1 (pp 2.4-2.6), IG 2-2 (pp 2.15-2.18)</v>
          </cell>
        </row>
        <row r="116">
          <cell r="D116" t="str">
            <v>LO#4 LFM-143-20 Fundamentals of the Principle Based Approach to Statutory Reserves for Life Insurance, Rudolph</v>
          </cell>
        </row>
        <row r="117">
          <cell r="D117" t="str">
            <v>LO#4 LFM-144-20 The Modernization of Insurance Company Solvency Regulation in the US, Klein, Networks Financial Institute Policy Brief, 2012 (exclude Sections 7 and 9)</v>
          </cell>
        </row>
        <row r="118">
          <cell r="D118" t="str">
            <v>LO#4 LFM-150-22: Captive Insurance Companies, NAIC, Feb 2021</v>
          </cell>
        </row>
        <row r="119">
          <cell r="D119" t="str">
            <v>LO#4 LFM-851-22: OSFI Guideline – Life Insurance Capital Adequacy Test (LICAT), Oct 2018, Only Ch. 1</v>
          </cell>
        </row>
        <row r="120">
          <cell r="D120" t="str">
            <v xml:space="preserve">LO#4 LFM-151-22 IAIS—International Capital Standard, ComFrame, Holistic Framework for Systemic Risk in the Insurance Sector, Sullivan &amp; Cromwell LLP, Dec 2019, Only pages 1-3, 8-28 </v>
          </cell>
        </row>
        <row r="121">
          <cell r="D121" t="str">
            <v>LO#4 LFM-141-18 IFRS 17 Insurance Contracts – IFRS Standards Effects Analysis, May 2017, IASB (sections 1, 2, 4 &amp; 6.1-2 only)</v>
          </cell>
        </row>
        <row r="122">
          <cell r="D122" t="str">
            <v>LO#4 LFM-847-20 Life Insurance Regulatory Framework, OSFI, 2012</v>
          </cell>
        </row>
        <row r="123">
          <cell r="D123" t="str">
            <v>LO#5 CIA Educational Note: LICAT and CARLI, March 2018</v>
          </cell>
        </row>
        <row r="124">
          <cell r="D124" t="str">
            <v>LO#5 LFM-636-20 OSFI Guideline A-4 Internal Target Capital Ratio for Insurance Companies, December 2017</v>
          </cell>
        </row>
        <row r="125">
          <cell r="D125" t="str">
            <v>LO#5 LFM-641-19 OSFI: Own Risk and Solvency Assessment (E-19), December 2017</v>
          </cell>
        </row>
        <row r="126">
          <cell r="D126" t="str">
            <v>LO#5 LFM-645-21: OSFI Guideline – Life Insurance Capital Adequacy Test (LICAT), Oct 2018, Ch. 1-11 (excluding Sections 4.2-4.4 &amp; 7.3-7.11)</v>
          </cell>
        </row>
        <row r="127">
          <cell r="D127" t="str">
            <v xml:space="preserve">LO#5 LFM-151-22 IAIS—International Capital Standard, ComFrame, Holistic Framework for Systemic Risk in the Insurance Sector, Sullivan &amp; Cromwell LLP, Dec 2019, Only pages 1-3, 8-28 </v>
          </cell>
        </row>
        <row r="128">
          <cell r="D128" t="str">
            <v xml:space="preserve">LO#5 A Multi-Stakeholder Approach to Capital Adequacy, Conning Research </v>
          </cell>
        </row>
        <row r="129">
          <cell r="D129" t="str">
            <v>LO#5 Economic Capital A Case Study to Analyze Longevity Risk, Risk &amp; Rewards, Aug 2010</v>
          </cell>
        </row>
        <row r="130">
          <cell r="D130" t="str">
            <v>LO#5 Economic Capital for life Insurance Companies, SOA Research paper, Oct 2016 (exclude sections 5 and 7)</v>
          </cell>
        </row>
        <row r="131">
          <cell r="D131" t="str">
            <v>LO#5 LFM-148-20 The Theory of Risk Capital in Financial Firms</v>
          </cell>
        </row>
        <row r="132">
          <cell r="D132" t="str">
            <v>LO#5 LFM-813-13 U.S. Insurance Regulation Solvency Framework and Current Topics</v>
          </cell>
        </row>
        <row r="133">
          <cell r="D133" t="str">
            <v>LO#5 LFM-136-16: Chapter 11 of Life Insurance Products and Finance, Atkinson &amp; Dallas, pp. 499-502</v>
          </cell>
        </row>
        <row r="134">
          <cell r="D134" t="str">
            <v>LO#5 Lombardi, Chapter 29 – Risk-Based Capital, Valuation of Insurance Liabilities, 5th Ed.</v>
          </cell>
        </row>
        <row r="135">
          <cell r="D135" t="str">
            <v xml:space="preserve">LO#5 LFM-852-22 Group Capital Calculation: Public Summary, National Association of Insurance Commissioners,  Dec 2020  </v>
          </cell>
        </row>
        <row r="136">
          <cell r="D136" t="str">
            <v>LO#5 LFM-853-22 Group Capital Calculation: Pictorial, National Association of Insurance Commissioners, Dec 2020</v>
          </cell>
        </row>
        <row r="137">
          <cell r="D137" t="str">
            <v>LO#5 LFM-854-22NAIC Own Risk and Solvency Assessment (ORSA) Guidance Manual, National Association of Insurance Commissioners, Dec 2017</v>
          </cell>
        </row>
        <row r="159">
          <cell r="C159" t="str">
            <v>Retrieval</v>
          </cell>
        </row>
        <row r="160">
          <cell r="C160" t="str">
            <v>Comprehension</v>
          </cell>
        </row>
        <row r="161">
          <cell r="C161" t="str">
            <v>Analysis</v>
          </cell>
        </row>
        <row r="162">
          <cell r="C162" t="str">
            <v>Knowledge Utilization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yllabus list"/>
      <sheetName val="Qxt_Updated"/>
      <sheetName val="Qxt"/>
      <sheetName val="Part c"/>
    </sheetNames>
    <sheetDataSet>
      <sheetData sheetId="0" refreshError="1"/>
      <sheetData sheetId="1">
        <row r="4">
          <cell r="D4" t="str">
            <v>LO#1 OSFI Guideline E15: Appointed Actuary -  Legal Requirements, Qualification and External Review (Sep 2012)</v>
          </cell>
        </row>
        <row r="123">
          <cell r="C123" t="str">
            <v>Retrieval</v>
          </cell>
        </row>
        <row r="124">
          <cell r="C124" t="str">
            <v>Comprehension</v>
          </cell>
        </row>
        <row r="125">
          <cell r="C125" t="str">
            <v>Analysis</v>
          </cell>
        </row>
        <row r="126">
          <cell r="C126" t="str">
            <v>Knowledge Utilization</v>
          </cell>
        </row>
      </sheetData>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Description"/>
      <sheetName val="Note"/>
      <sheetName val="Input - Entrée de données"/>
      <sheetName val="Derivation"/>
      <sheetName val="Chart - Graphique"/>
      <sheetName val="Output - Résultats"/>
      <sheetName val="Équivalences"/>
      <sheetName val="Sheet1"/>
    </sheetNames>
    <sheetDataSet>
      <sheetData sheetId="0"/>
      <sheetData sheetId="1"/>
      <sheetData sheetId="2">
        <row r="1">
          <cell r="I1" t="str">
            <v>Français / French</v>
          </cell>
        </row>
      </sheetData>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syllabus list"/>
      <sheetName val="Fall-Spring Split"/>
      <sheetName val="Summary"/>
      <sheetName val="S1"/>
      <sheetName val="BL-01"/>
      <sheetName val="BL-01 part b"/>
      <sheetName val="DS-01"/>
      <sheetName val="Calc c"/>
      <sheetName val="MB-01"/>
      <sheetName val="Calc MB-01"/>
      <sheetName val="JL-02"/>
      <sheetName val="(c)"/>
      <sheetName val="BL-02"/>
      <sheetName val="Calc BL-02"/>
      <sheetName val="KB-02"/>
      <sheetName val="KB02- part c"/>
      <sheetName val="JL-01"/>
      <sheetName val="MP-01"/>
      <sheetName val="BL-02b"/>
      <sheetName val="Part c (3)"/>
      <sheetName val="PS"/>
      <sheetName val="1"/>
      <sheetName val="2"/>
      <sheetName val="3"/>
      <sheetName val="3(d) Calc"/>
      <sheetName val="part c (2)"/>
      <sheetName val="4"/>
      <sheetName val="4(c) &amp; (d) calc"/>
      <sheetName val="5"/>
      <sheetName val="6"/>
      <sheetName val="6(c) calc"/>
      <sheetName val="F6(c) calc - old1"/>
      <sheetName val="F6(c) Calc - old"/>
      <sheetName val="7"/>
      <sheetName val="7(d) calc"/>
      <sheetName val="8"/>
      <sheetName val="KB-01"/>
      <sheetName val="Part B Calc"/>
      <sheetName val="Solution for Part C"/>
      <sheetName val="Underlying Volatility Calcs"/>
    </sheetNames>
    <sheetDataSet>
      <sheetData sheetId="0"/>
      <sheetData sheetId="1"/>
      <sheetData sheetId="2">
        <row r="4">
          <cell r="D4" t="str">
            <v>LO#1 CIA Draft Educational Note: IFRS 17 – Fair Value of Insurance Contracts, Oct 2021</v>
          </cell>
        </row>
        <row r="5">
          <cell r="D5" t="str">
            <v>LO#1 CIA Draft Explanatory Report: IFRS 17 Expenses, Apr 2021</v>
          </cell>
        </row>
        <row r="6">
          <cell r="D6" t="str">
            <v>LO#1 CIA Educational Note - IFRS 17 Discount Rates for Life and Health Insurance Contracts, Jun 2020</v>
          </cell>
        </row>
        <row r="7">
          <cell r="D7" t="str">
            <v>LO#1 CIA Educational Note: Comparison of IFRS 17 to Current CIA Standard of Practice, Sept 2018</v>
          </cell>
        </row>
        <row r="8">
          <cell r="D8" t="str">
            <v>LO#1 CIA Educational Note: Dividend Determination for Participating Policies, Jan 2014</v>
          </cell>
        </row>
        <row r="9">
          <cell r="D9" t="str">
            <v>LO#1 CIA Educational Note: Expected Mortality: Fully Underwritten Canadian Individual Life Insurance Policies: July 2002 (only sections 100, 200, and 300)</v>
          </cell>
        </row>
        <row r="10">
          <cell r="D10" t="str">
            <v xml:space="preserve">LO#1 CIA Educational Note: Guidance on Fairness Opinions Required Under the Insurance Companies Act Pursuant to Bill C-57 (2005) </v>
          </cell>
        </row>
        <row r="11">
          <cell r="D11" t="str">
            <v>LO#1 CIA Educational Note: IFRS 17 – Coverage Units for Life and Health Insurance Contracts, Dec 2019</v>
          </cell>
        </row>
        <row r="12">
          <cell r="D12" t="str">
            <v>LO#1 CIA Educational Note: IFRS 17 Estimates of Future Cash Flows for Life and Health Insurance Contracts, Sep 2019</v>
          </cell>
        </row>
        <row r="13">
          <cell r="D13" t="str">
            <v>LO#1 CIA Educational Note: IFRS 17 Market Consistent Valuation of Financial Guarantees for Life and Health Insurance Contracts, May 2020</v>
          </cell>
        </row>
        <row r="14">
          <cell r="D14" t="str">
            <v>LO#1 CIA Educational Note: IFRS 17 Measurement and Presentation of Canadian Participating Insurance Contracts, Apr 2021</v>
          </cell>
        </row>
        <row r="15">
          <cell r="D15" t="str">
            <v>LO#1 CIA Educational Note: IFRS 17 Risk Adjustment for Non-Financial Risk for Life and Health Insurance Contracts, Jul 2019</v>
          </cell>
        </row>
        <row r="16">
          <cell r="D16" t="str">
            <v>LO#1 CIA Educational Note: Selective Lapsation for Renewable Term Insurance Products, February 2017</v>
          </cell>
        </row>
        <row r="17">
          <cell r="D17" t="str">
            <v>LO#1 CIA Final Communication of a Promulgation of Prescribed Mortality Improvement Rates (July 2017)</v>
          </cell>
        </row>
        <row r="18">
          <cell r="D18" t="str">
            <v>LO#1 CIA Report - Lapse Experience Study for 10-year Term Insurance, Jan 2014, pp. 6 -32</v>
          </cell>
        </row>
        <row r="19">
          <cell r="D19" t="str">
            <v>LO#1 CIA Research Paper - Lapse Experience under UL Level COI Policies, Sep 2015, pp. 4 - 8</v>
          </cell>
        </row>
        <row r="20">
          <cell r="D20" t="str">
            <v>LO#1 IFRS 17 Insurance Contracts Example (Spreadsheet Model)</v>
          </cell>
        </row>
        <row r="21">
          <cell r="D21" t="str">
            <v>LO#1 LFM-141-18: IFRS 17 Insurance Contracts – IFRS Standards Effects Analysis, May 2017, IASB (sections 1, 2, 4 &amp; 6.1-2 only) - Reduced Page count as per US Exam?</v>
          </cell>
        </row>
        <row r="22">
          <cell r="D22" t="str">
            <v>LO#1 LFM-632-23: OSFI B-3 Sound Reinsurance Practices and Procedures</v>
          </cell>
        </row>
        <row r="23">
          <cell r="D23" t="str">
            <v>LO#1 LFM-634-23: CIA Standards of Practice: Insurance Sections (excluding 2600), Jan 2023</v>
          </cell>
        </row>
        <row r="24">
          <cell r="D24" t="str">
            <v>LO#1 LFM-635-13: Participating Account Management and Disclosure to Participating Policyholders and Adjustable Policyholders</v>
          </cell>
        </row>
        <row r="25">
          <cell r="D25" t="str">
            <v>LO#1 LFM-649-22: International Actuarial Note 100 Application of IFRS 17 (exclude Section C: Chapter 11 and Section D)</v>
          </cell>
        </row>
        <row r="26">
          <cell r="D26" t="str">
            <v>LO#1 LFM-655-21: IFRS Standards Exposure Draft Amendments to IFRS 17, June 2019</v>
          </cell>
        </row>
        <row r="27">
          <cell r="D27" t="str">
            <v>LO#1 LFM-656-21: PwC In transition: The latest on IFRS 17 Implementation, Feb 2020</v>
          </cell>
        </row>
        <row r="28">
          <cell r="D28" t="str">
            <v>LO#1 LFM-657-22: The IFRS 17 Contractual Service Margin: A Life Insurance Perspective (Sections 1-4.7 &amp; 5)</v>
          </cell>
        </row>
        <row r="29">
          <cell r="D29" t="str">
            <v>LO#1 LFM-658-23: Risk Adjustments For Insurance Contracts Under IFRS 17, Chapter 2 “Principles Underlying Risk adjustments”</v>
          </cell>
        </row>
        <row r="30">
          <cell r="D30" t="str">
            <v>LO#1 OSFI Guideline E15: Appointed Actuary -  Legal Requirements, Qualification and External Review (Sep 2012)</v>
          </cell>
        </row>
        <row r="31">
          <cell r="D31" t="str">
            <v>LO#1 Implementation Considerations For VA Market Risk Benefits, Financial Reporter, Sep 2019</v>
          </cell>
        </row>
        <row r="32">
          <cell r="D32" t="str">
            <v>LO#1 LFM-848-22: A Comprehensive Guide – Reinsurance, 2020, (Sections 1, 2, 4, 7, Appendix D)</v>
          </cell>
        </row>
        <row r="33">
          <cell r="D33" t="str">
            <v>LO#1 LFM-856-23: US GAAP for Life Insurers, 2022, Chapter 1:  US GAAP Objectives and their Implications to Insurers</v>
          </cell>
        </row>
        <row r="34">
          <cell r="D34" t="str">
            <v>LO#1 LFM-856-23: US GAAP for Life Insurers, 2022, Chapter 11: Deferred Annuities</v>
          </cell>
        </row>
        <row r="35">
          <cell r="D35" t="str">
            <v>LO#1 LFM-856-23: US GAAP for Life Insurers, 2022, Chapter 12: Annuities Payout</v>
          </cell>
        </row>
        <row r="36">
          <cell r="D36" t="str">
            <v>LO#1 LFM-856-23: US GAAP for Life Insurers, 2022, Chapter 13: Group Pension (only sections 2.3, 3 &amp; 4)</v>
          </cell>
        </row>
        <row r="37">
          <cell r="D37" t="str">
            <v>LO#1 LFM-856-23: US GAAP for Life Insurers, 2022, Chapter 19: Investment Accounting</v>
          </cell>
        </row>
        <row r="38">
          <cell r="D38" t="str">
            <v>LO#1 LFM-856-23: US GAAP for Life Insurers, 2022, Chapter 20: Derivatives and Hedging</v>
          </cell>
        </row>
        <row r="39">
          <cell r="D39" t="str">
            <v>LO#1 LFM-856-23: US GAAP for Life Insurers, 2022, Chapter 3: Product Classification and Measurement</v>
          </cell>
        </row>
        <row r="40">
          <cell r="D40" t="str">
            <v>LO#1 LFM-856-23: US GAAP for Life Insurers, 2022, Chapter 4: Expenses</v>
          </cell>
        </row>
        <row r="41">
          <cell r="D41" t="str">
            <v>LO#1 LFM-856-23: US GAAP for Life Insurers, 2022, Chapter 5: Non-Participating Traditional Life Insurance</v>
          </cell>
        </row>
        <row r="42">
          <cell r="D42" t="str">
            <v>LO#1 LFM-856-23: US GAAP for Life Insurers, 2022, Chapter 6: Participating Traditional Life Insurance</v>
          </cell>
        </row>
        <row r="43">
          <cell r="D43" t="str">
            <v>LO#1 LFM-856-23: US GAAP for Life Insurers, 2022, Chapter 7: Universal Life Insurance (only sections 1, 2, 5-7)</v>
          </cell>
        </row>
        <row r="44">
          <cell r="D44" t="str">
            <v>LO#1 LFM-856-23: US GAAP for Life Insurers, 2022, Chapter 8: Long Duration Accident and Health Insurance Contracts (only sections 2.8.2, 3-5)</v>
          </cell>
        </row>
        <row r="45">
          <cell r="D45" t="str">
            <v>LO#1 Targeted Improvements Interactive Model</v>
          </cell>
        </row>
        <row r="46">
          <cell r="D46" t="str">
            <v>LO#2 Bridging the GAAP: IFRS 17 and LDTI Differences Explored, Financial Reporter, July 2022</v>
          </cell>
        </row>
        <row r="47">
          <cell r="D47" t="str">
            <v>LO#2 LFM-144-20: The Modernization of Insurance Company Solvency Regulation in the US (exclude Sections 7 and 9)</v>
          </cell>
        </row>
        <row r="48">
          <cell r="D48" t="str">
            <v>LO#2 LFM-149-21: Insurance Contracts Accounting Guide, PWC, Oct 2019 (Sections 1.1, 3.5, 5.1-5.4, 5.6; Figures IG 2-1, 2-2)</v>
          </cell>
        </row>
        <row r="49">
          <cell r="D49" t="str">
            <v>LO#2 LFM-650-20: FASB in Focus - Accounting Standards Update No 2018-12:Targeted Improvements to the Accounting for Long-Duration Contracts Issued by Insurance Companies</v>
          </cell>
        </row>
        <row r="50">
          <cell r="D50" t="str">
            <v>LO#2 LFM-143-20: Fundamentals of the Principle-Based Approach to Statutory Reserves for Life Insurance, July 2019</v>
          </cell>
        </row>
        <row r="51">
          <cell r="D51" t="str">
            <v>LO#2 Impacts of AG 48, Financial Reporter, Dec 2015</v>
          </cell>
        </row>
        <row r="52">
          <cell r="D52" t="str">
            <v>LO#2 LFM-822-16: Study Note on Actuarial Guidelines AG 38 &amp; 48 (exclude pages 6 to 8)</v>
          </cell>
        </row>
        <row r="53">
          <cell r="D53" t="str">
            <v>LO#2 PBA Corner, Financial Reporter, Jun 2016</v>
          </cell>
        </row>
        <row r="54">
          <cell r="D54" t="str">
            <v>LO#2 Principle-Based Reserves Interactive Model</v>
          </cell>
        </row>
        <row r="55">
          <cell r="D55" t="str">
            <v>LO#2 Statutory Vauation of Individual Life &amp; Annuity Contracts, 5th Ed, 2018, Chapter 1 – Overview of Valuation Concepts (exclude 1.1-1.9)</v>
          </cell>
        </row>
        <row r="56">
          <cell r="D56" t="str">
            <v>LO#2 Statutory Vauation of Individual Life &amp; Annuity Contracts, 5th Ed, 2018, Chapter 10 – Valuation Assumptions (exclude 10.1.3, 10.3.8)</v>
          </cell>
        </row>
        <row r="57">
          <cell r="D57" t="str">
            <v>LO#2 Statutory Vauation of Individual Life &amp; Annuity Contracts, 5th Ed, 2018, Chapter 11 – Valuation Methodologies (exclude 11.3.9 to 11.3.11)</v>
          </cell>
        </row>
        <row r="58">
          <cell r="D58" t="str">
            <v xml:space="preserve">LO#2 Statutory Vauation of Individual Life &amp; Annuity Contracts, 5th Ed, 2018, Chapter 12 – Whole Life </v>
          </cell>
        </row>
        <row r="59">
          <cell r="D59" t="str">
            <v xml:space="preserve">LO#2 Statutory Vauation of Individual Life &amp; Annuity Contracts, 5th Ed, 2018, Chapter 13 – Term Life Insurance </v>
          </cell>
        </row>
        <row r="60">
          <cell r="D60" t="str">
            <v>LO#2 Statutory Vauation of Individual Life &amp; Annuity Contracts, 5th Ed, 2018, Chapter 14 – Universal Life (exclude 14.4.8, 14.4.9, 14.5.0, 14.6.2-14.6.6)</v>
          </cell>
        </row>
        <row r="61">
          <cell r="D61" t="str">
            <v>LO#2 Statutory Vauation of Individual Life &amp; Annuity Contracts, 5th Ed, 2018, Chapter 16 – Indexed Universal Life (exclude 16.4.2-16.4.3)</v>
          </cell>
        </row>
        <row r="62">
          <cell r="D62" t="str">
            <v>LO#2 Statutory Vauation of Individual Life &amp; Annuity Contracts, 5th Ed, 2018, Chapter 18 – Fixed Deferred  Annuities (exclude 18.7.4, 18.8)</v>
          </cell>
        </row>
        <row r="63">
          <cell r="D63" t="str">
            <v>LO#2 Statutory Vauation of Individual Life &amp; Annuity Contracts, 5th Ed, 2018, Chapter 19 – Variable Deferred Annuities</v>
          </cell>
        </row>
        <row r="64">
          <cell r="D64" t="str">
            <v>LO#2 Statutory Vauation of Individual Life &amp; Annuity Contracts, 5th Ed, 2018, Chapter 2 – Product Classifications (2.2 only)</v>
          </cell>
        </row>
        <row r="65">
          <cell r="D65" t="str">
            <v xml:space="preserve">LO#2 Statutory Vauation of Individual Life &amp; Annuity Contracts, 5th Ed, 2018, Chapter 20 – Indexed Deferred Annuities </v>
          </cell>
        </row>
        <row r="66">
          <cell r="D66" t="str">
            <v xml:space="preserve">LO#2 Statutory Vauation of Individual Life &amp; Annuity Contracts, 5th Ed, 2018, Chapter 21 – Immediate Annuities </v>
          </cell>
        </row>
        <row r="67">
          <cell r="D67" t="str">
            <v>LO#2 Statutory Vauation of Individual Life &amp; Annuity Contracts, 5th Ed, 2018, Chapter 22 – Miscellaneous Reserves (exclude 22.3 to 22.4) </v>
          </cell>
        </row>
        <row r="68">
          <cell r="D68" t="str">
            <v>LO#2 Statutory Vauation of Individual Life &amp; Annuity Contracts, 5th Ed, 2018, Chapter 23 – VM-20: PBR for Life Products (exclude 23.1)</v>
          </cell>
        </row>
        <row r="69">
          <cell r="D69" t="str">
            <v>LO#2 Statutory Vauation of Individual Life &amp; Annuity Contracts, 5th Ed, 2018, Chapter 24 - Addendum for Variable Annuity PBR Updates</v>
          </cell>
        </row>
        <row r="70">
          <cell r="D70" t="str">
            <v>LO#2 Statutory Vauation of Individual Life &amp; Annuity Contracts, 5th Ed, 2018, Chapter 25 - Principle-Based Reserve Report</v>
          </cell>
        </row>
        <row r="71">
          <cell r="D71" t="str">
            <v>LO#2 Statutory Vauation of Individual Life &amp; Annuity Contracts, 5th Ed, 2018, Chapter 3 – NAIC Annual Statement</v>
          </cell>
        </row>
        <row r="72">
          <cell r="D72" t="str">
            <v>LO#2 Statutory Vauation of Individual Life &amp; Annuity Contracts, 5th Ed, 2018, Chapter 4 – Standard Valuation Law</v>
          </cell>
        </row>
        <row r="73">
          <cell r="D73" t="str">
            <v>LO#2 Statutory Vauation of Individual Life &amp; Annuity Contracts, 5th Ed, 2018, Chapter 5 – The Valuation Manual</v>
          </cell>
        </row>
        <row r="74">
          <cell r="D74" t="str">
            <v>LO#3 Canadian Insurance Taxation, 4th Ed, 2015, Chapter 3-6, 9, 10, 11 &amp; 24</v>
          </cell>
        </row>
        <row r="75">
          <cell r="D75" t="str">
            <v>LO#3 CIA Educational Note: Future Income and Alternative Taxes, Dec 2012 (excluding Apeendix D)</v>
          </cell>
        </row>
        <row r="76">
          <cell r="D76" t="str">
            <v xml:space="preserve">LO#3 LFM-845-20: Chapters 1 and 2 of Life Insurance and Modified Endowments Under IRC §7702 and §7702A, Desrochers, 2nd Edition </v>
          </cell>
        </row>
        <row r="77">
          <cell r="D77" t="str">
            <v>LO#3 LFM-846-20: Company Tax – Introductory Study Note</v>
          </cell>
        </row>
        <row r="78">
          <cell r="D78" t="str">
            <v>LO#3 LFM-850-22: Changes to Section 7702 (IRC) and Nonforfeiture Interet Rates</v>
          </cell>
        </row>
        <row r="79">
          <cell r="D79" t="str">
            <v>LO#3 The Tax Cuts and Jobs Act of 2017— Effects on Life Insurers, American Academy of Actuaries, Oct 2020</v>
          </cell>
        </row>
        <row r="80">
          <cell r="D80" t="str">
            <v xml:space="preserve">LO#4 LFM-151-22: IAIS—International Capital Standard, ComFrame, Holistic Framework for Systemic Risk in the Insurance Sector, Sullivan &amp; Cromwell LLP, Dec 2019
Only pages 1-3, 8-28  </v>
          </cell>
        </row>
        <row r="81">
          <cell r="D81" t="str">
            <v>LO#4 LFM-636-20: OSFI Guideline A-4 Internal Target Capital Ratio for Insurance Companies, December 2017</v>
          </cell>
        </row>
        <row r="82">
          <cell r="D82" t="str">
            <v>LO#4 LFM-641-19: OSFI: Own Risk and Solvency Assessment (E-19), December 2017</v>
          </cell>
        </row>
        <row r="83">
          <cell r="D83" t="str">
            <v>LO#4 LFM-645-23: OSFI Guideline – Life Insurance Capital Adequacy Test (LICAT), July 2022, Ch. 1-11 (excluding Sections 4.2-4.4 &amp; 7.3-7.10)</v>
          </cell>
        </row>
        <row r="84">
          <cell r="D84" t="str">
            <v xml:space="preserve">LO#4 A Multi-Stakeholder Approach to Capital Adequacy, Conning Research </v>
          </cell>
        </row>
        <row r="85">
          <cell r="D85" t="str">
            <v>LO#4 Economic Capital for life Insurance Companies, SOA Research paper, Oct 2016 (exclude sections 5 and 7)</v>
          </cell>
        </row>
        <row r="86">
          <cell r="D86" t="str">
            <v>LO#4 LFM-148-20: The Theory of Risk Capital in Financial Firms</v>
          </cell>
        </row>
        <row r="87">
          <cell r="D87" t="str">
            <v>LO#4 ASOP 55 – Capital Adequacy Assessment, Section 3 and Appendix 1</v>
          </cell>
        </row>
        <row r="88">
          <cell r="D88" t="str">
            <v>LO#4 LFM-136-16: Chapter 11 of Life Insurance Products and Finance, Atkinson &amp; Dallas, pp. 499-502</v>
          </cell>
        </row>
        <row r="89">
          <cell r="D89" t="str">
            <v>LO#4 LFM-813-13: U.S. Insurance Regulation Solvency Framework and Current Topics</v>
          </cell>
        </row>
        <row r="90">
          <cell r="D90" t="str">
            <v xml:space="preserve">LO#4 LFM-852-22: Group Capital Calculation: Public Summary, National Association of Insurance Commissioners,  Dec 2020  </v>
          </cell>
        </row>
        <row r="91">
          <cell r="D91" t="str">
            <v>LO#4 LFM-853-22: Group Capital Calculation: Pictorial, National Association of Insurance Commissioners, Dec 2020</v>
          </cell>
        </row>
        <row r="92">
          <cell r="D92" t="str">
            <v>LO#4 LFM-854-22: NAIC Own Risk and Solvency Assessment (ORSA) Guidance Manual, National Association of Insurance Commissioners, Dec 2017</v>
          </cell>
        </row>
        <row r="93">
          <cell r="D93" t="str">
            <v>LO#4 Statutory Vauation of Individual Life &amp; Annuity Contracts, 5th Ed, 2018, Chapter 29 – Risk-Based Capital</v>
          </cell>
        </row>
        <row r="94">
          <cell r="D94" t="str">
            <v>LO#5 CIA: Sources of Earning: Determination and Disclosure, Aug 2004</v>
          </cell>
        </row>
        <row r="95">
          <cell r="D95" t="str">
            <v>LO#5 LFM-601-13: OSFI Guideline D-9: Sources of Earnings Disclosure (Life Insurance Companies)</v>
          </cell>
        </row>
        <row r="96">
          <cell r="D96" t="str">
            <v xml:space="preserve">LO#5 Embedded Value: Practice and Theory, SOA, Actuarial Practice Forum, March 2009 </v>
          </cell>
        </row>
        <row r="97">
          <cell r="D97" t="str">
            <v xml:space="preserve">LO#5 LFM-106-07: Insurance Industry Mergers and Acquisitions, Chapter 4 (Sections 4.1-4.6) </v>
          </cell>
        </row>
        <row r="98">
          <cell r="D98" t="str">
            <v xml:space="preserve">LO#5 LFM-138-16: Prudential Financial - Stockholder's Equity and Operating Leverage, HBR, 2008  </v>
          </cell>
        </row>
        <row r="99">
          <cell r="D99" t="str">
            <v>LO#5 LFM-152-22: Introduction to Source of Earnings Analysis (excluding Appendices)</v>
          </cell>
        </row>
        <row r="100">
          <cell r="D100" t="str">
            <v>LO#5 Statutory Vauation of Individual Life &amp; Annuity Contracts, 5th Ed, 2018, Chapter 19 – Variable Deferred Annuities, Section 19.4</v>
          </cell>
        </row>
        <row r="101">
          <cell r="D101" t="str">
            <v>LO#6 Bridging the GAAP: IFRS 17 and LDTI Differences Explored, Financial Reporter, July 2022</v>
          </cell>
        </row>
        <row r="102">
          <cell r="D102" t="str">
            <v>LO#6 LFM-141-18: IFRS 17 Insurance Contracts – IFRS Standards Effects Analysis, May 2017, IASB (sections 1, 2, 4 &amp; 6.1-2 only) - Reduced Page count as per US Exam?</v>
          </cell>
        </row>
        <row r="103">
          <cell r="D103" t="str">
            <v>LO#6 LFM-144-20: The Modernization of Insurance Company Solvency Regulation in the US (exclude Sections 7 and 9)</v>
          </cell>
        </row>
        <row r="104">
          <cell r="D104" t="str">
            <v xml:space="preserve">LO#6 LFM-151-22: IAIS—International Capital Standard, ComFrame, Holistic Framework for Systemic Risk in the Insurance Sector, Sullivan &amp; Cromwell LLP, Dec 2019, Pages 1-3, 8-28 </v>
          </cell>
        </row>
        <row r="105">
          <cell r="D105" t="str">
            <v>LO#6 LFM-847-20: Life Insurance Regulatory Framework, OSFI, 2012</v>
          </cell>
        </row>
        <row r="106">
          <cell r="D106" t="str">
            <v>LO#6 LFM-851-23: OSFI Guideline – Life Insurance Capital Adequacy Test (LICAT), July 2022, Only Ch. 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syllabus list"/>
      <sheetName val="Fall-Spring Split"/>
      <sheetName val="Summary"/>
      <sheetName val="SC-02"/>
      <sheetName val="BL-01"/>
      <sheetName val="part d"/>
      <sheetName val="DS-01"/>
      <sheetName val="Calc c"/>
      <sheetName val="MB-01"/>
      <sheetName val="Calc"/>
      <sheetName val="JL-02"/>
      <sheetName val="(c)"/>
      <sheetName val="BL-02"/>
      <sheetName val="part c"/>
      <sheetName val="KB-02"/>
      <sheetName val="part b"/>
      <sheetName val="JL-01"/>
      <sheetName val="MP-01"/>
      <sheetName val="Part c (3)"/>
      <sheetName val="PS-02"/>
      <sheetName val="part c (2)"/>
      <sheetName val="MB-02"/>
      <sheetName val="DS-02"/>
      <sheetName val=""/>
      <sheetName val="KH-01"/>
      <sheetName val="Part A Calc"/>
      <sheetName val="AP-01"/>
      <sheetName val="JZ-01"/>
      <sheetName val="Calc (updated)"/>
      <sheetName val="Part B Calc"/>
      <sheetName val="SC-01"/>
      <sheetName val="SC1 calc"/>
      <sheetName val="BL-02b"/>
      <sheetName val="KB-01"/>
      <sheetName val="Solution for Part C"/>
      <sheetName val="Underlying Volatility Calcs"/>
    </sheetNames>
    <sheetDataSet>
      <sheetData sheetId="0" refreshError="1"/>
      <sheetData sheetId="1" refreshError="1"/>
      <sheetData sheetId="2">
        <row r="4">
          <cell r="D4" t="str">
            <v>LO#1 CIA Draft Educational Note: IFRS 17 – Fair Value of Insurance Contracts, Oct 2021</v>
          </cell>
        </row>
        <row r="5">
          <cell r="D5" t="str">
            <v>LO#1 CIA Draft Explanatory Report: IFRS 17 Expenses, Apr 2021</v>
          </cell>
        </row>
        <row r="6">
          <cell r="D6" t="str">
            <v>LO#1 CIA Educational Note - IFRS 17 Discount Rates for Life and Health Insurance Contracts, Jun 2020</v>
          </cell>
        </row>
        <row r="7">
          <cell r="D7" t="str">
            <v>LO#1 CIA Educational Note: Comparison of IFRS 17 to Current CIA Standard of Practice, Sept 2018</v>
          </cell>
        </row>
        <row r="8">
          <cell r="D8" t="str">
            <v>LO#1 CIA Educational Note: Dividend Determination for Participating Policies, Jan 2014</v>
          </cell>
        </row>
        <row r="9">
          <cell r="D9" t="str">
            <v>LO#1 CIA Educational Note: Expected Mortality: Fully Underwritten Canadian Individual Life Insurance Policies: July 2002 (only sections 100, 200, and 300)</v>
          </cell>
        </row>
        <row r="10">
          <cell r="D10" t="str">
            <v xml:space="preserve">LO#1 CIA Educational Note: Guidance on Fairness Opinions Required Under the Insurance Companies Act Pursuant to Bill C-57 (2005) </v>
          </cell>
        </row>
        <row r="11">
          <cell r="D11" t="str">
            <v>LO#1 CIA Educational Note: IFRS 17 – Coverage Units for Life and Health Insurance Contracts, Dec 2019</v>
          </cell>
        </row>
        <row r="12">
          <cell r="D12" t="str">
            <v>LO#1 CIA Educational Note: IFRS 17 Estimates of Future Cash Flows for Life and Health Insurance Contracts, Sep 2019</v>
          </cell>
        </row>
        <row r="13">
          <cell r="D13" t="str">
            <v>LO#1 CIA Educational Note: IFRS 17 Market Consistent Valuation of Financial Guarantees for Life and Health Insurance Contracts, May 2020</v>
          </cell>
        </row>
        <row r="14">
          <cell r="D14" t="str">
            <v>LO#1 CIA Educational Note: IFRS 17 Measurement and Presentation of Canadian Participating Insurance Contracts, Apr 2021</v>
          </cell>
        </row>
        <row r="15">
          <cell r="D15" t="str">
            <v>LO#1 CIA Educational Note: IFRS 17 Risk Adjustment for Non-Financial Risk for Life and Health Insurance Contracts, Jul 2019</v>
          </cell>
        </row>
        <row r="16">
          <cell r="D16" t="str">
            <v>LO#1 CIA Educational Note: Selective Lapsation for Renewable Term Insurance Products, February 2017</v>
          </cell>
        </row>
        <row r="17">
          <cell r="D17" t="str">
            <v>LO#1 CIA Final Communication of a Promulgation of Prescribed Mortality Improvement Rates (July 2017)</v>
          </cell>
        </row>
        <row r="18">
          <cell r="D18" t="str">
            <v>LO#1 CIA Report - Lapse Experience Study for 10-year Term Insurance, Jan 2014, pp. 6 -32</v>
          </cell>
        </row>
        <row r="19">
          <cell r="D19" t="str">
            <v>LO#1 CIA Research Paper - Lapse Experience under UL Level COI Policies, Sep 2015, pp. 4 - 8</v>
          </cell>
        </row>
        <row r="20">
          <cell r="D20" t="str">
            <v>LO#1 IFRS 17 Insurance Contracts Example (Spreadsheet Model)</v>
          </cell>
        </row>
        <row r="21">
          <cell r="D21" t="str">
            <v>LO#1 LFM-141-18: IFRS 17 Insurance Contracts – IFRS Standards Effects Analysis, May 2017, IASB (sections 1, 2, 4 &amp; 6.1-2 only) - Reduced Page count as per US Exam?</v>
          </cell>
        </row>
        <row r="22">
          <cell r="D22" t="str">
            <v>LO#1 LFM-632-23: OSFI B-3 Sound Reinsurance Practices and Procedures</v>
          </cell>
        </row>
        <row r="23">
          <cell r="D23" t="str">
            <v>LO#1 LFM-634-23: CIA Standards of Practice: Insurance Sections (excluding 2600), Jan 2023</v>
          </cell>
        </row>
        <row r="24">
          <cell r="D24" t="str">
            <v>LO#1 LFM-635-13: Participating Account Management and Disclosure to Participating Policyholders and Adjustable Policyholders</v>
          </cell>
        </row>
        <row r="25">
          <cell r="D25" t="str">
            <v>LO#1 LFM-649-22: International Actuarial Note 100 Application of IFRS 17 (exclude Section C: Chapter 11 and Section D)</v>
          </cell>
        </row>
        <row r="26">
          <cell r="D26" t="str">
            <v>LO#1 LFM-655-21: IFRS Standards Exposure Draft Amendments to IFRS 17, June 2019</v>
          </cell>
        </row>
        <row r="27">
          <cell r="D27" t="str">
            <v>LO#1 LFM-656-21: PwC In transition: The latest on IFRS 17 Implementation, Feb 2020</v>
          </cell>
        </row>
        <row r="28">
          <cell r="D28" t="str">
            <v>LO#1 LFM-657-22: The IFRS 17 Contractual Service Margin: A Life Insurance Perspective (Sections 1-4.7 &amp; 5)</v>
          </cell>
        </row>
        <row r="29">
          <cell r="D29" t="str">
            <v>LO#1 LFM-658-23: Risk Adjustments For Insurance Contracts Under IFRS 17, Chapter 2 “Principles Underlying Risk adjustments”</v>
          </cell>
        </row>
        <row r="30">
          <cell r="D30" t="str">
            <v>LO#1 OSFI Guideline E15: Appointed Actuary -  Legal Requirements, Qualification and External Review (Sep 2012)</v>
          </cell>
        </row>
        <row r="31">
          <cell r="D31" t="str">
            <v>LO#1 Implementation Considerations For VA Market Risk Benefits, Financial Reporter, Sep 2019</v>
          </cell>
        </row>
        <row r="32">
          <cell r="D32" t="str">
            <v>LO#1 LFM-848-22: A Comprehensive Guide – Reinsurance, 2020, (Sections 1, 2, 4, 7, Appendix D)</v>
          </cell>
        </row>
        <row r="33">
          <cell r="D33" t="str">
            <v>LO#1 LFM-856-23: US GAAP for Life Insurers, 2022, Chapter 1:  US GAAP Objectives and their Implications to Insurers</v>
          </cell>
        </row>
        <row r="34">
          <cell r="D34" t="str">
            <v>LO#1 LFM-856-23: US GAAP for Life Insurers, 2022, Chapter 11: Deferred Annuities</v>
          </cell>
        </row>
        <row r="35">
          <cell r="D35" t="str">
            <v>LO#1 LFM-856-23: US GAAP for Life Insurers, 2022, Chapter 12: Annuities Payout</v>
          </cell>
        </row>
        <row r="36">
          <cell r="D36" t="str">
            <v>LO#1 LFM-856-23: US GAAP for Life Insurers, 2022, Chapter 13: Group Pension (only sections 2.3, 3 &amp; 4)</v>
          </cell>
        </row>
        <row r="37">
          <cell r="D37" t="str">
            <v>LO#1 LFM-856-23: US GAAP for Life Insurers, 2022, Chapter 19: Investment Accounting</v>
          </cell>
        </row>
        <row r="38">
          <cell r="D38" t="str">
            <v>LO#1 LFM-856-23: US GAAP for Life Insurers, 2022, Chapter 20: Derivatives and Hedging</v>
          </cell>
        </row>
        <row r="39">
          <cell r="D39" t="str">
            <v>LO#1 LFM-856-23: US GAAP for Life Insurers, 2022, Chapter 3: Product Classification and Measurement</v>
          </cell>
        </row>
        <row r="40">
          <cell r="D40" t="str">
            <v>LO#1 LFM-856-23: US GAAP for Life Insurers, 2022, Chapter 4: Expenses</v>
          </cell>
        </row>
        <row r="41">
          <cell r="D41" t="str">
            <v>LO#1 LFM-856-23: US GAAP for Life Insurers, 2022, Chapter 5: Non-Participating Traditional Life Insurance</v>
          </cell>
        </row>
        <row r="42">
          <cell r="D42" t="str">
            <v>LO#1 LFM-856-23: US GAAP for Life Insurers, 2022, Chapter 6: Participating Traditional Life Insurance</v>
          </cell>
        </row>
        <row r="43">
          <cell r="D43" t="str">
            <v>LO#1 LFM-856-23: US GAAP for Life Insurers, 2022, Chapter 7: Universal Life Insurance (only sections 1, 2, 5-7)</v>
          </cell>
        </row>
        <row r="44">
          <cell r="D44" t="str">
            <v>LO#1 LFM-856-23: US GAAP for Life Insurers, 2022, Chapter 8: Long Duration Accident and Health Insurance Contracts (only sections 2.8.2, 3-5)</v>
          </cell>
        </row>
        <row r="45">
          <cell r="D45" t="str">
            <v>LO#1 Targeted Improvements Interactive Model</v>
          </cell>
        </row>
        <row r="46">
          <cell r="D46" t="str">
            <v>LO#2 Bridging the GAAP: IFRS 17 and LDTI Differences Explored, Financial Reporter, July 2022</v>
          </cell>
        </row>
        <row r="47">
          <cell r="D47" t="str">
            <v>LO#2 LFM-144-20: The Modernization of Insurance Company Solvency Regulation in the US (exclude Sections 7 and 9)</v>
          </cell>
        </row>
        <row r="48">
          <cell r="D48" t="str">
            <v>LO#2 LFM-149-21: Insurance Contracts Accounting Guide, PWC, Oct 2019 (Sections 1.1, 3.5, 5.1-5.4, 5.6; Figures IG 2-1, 2-2)</v>
          </cell>
        </row>
        <row r="49">
          <cell r="D49" t="str">
            <v>LO#2 LFM-650-20: FASB in Focus - Accounting Standards Update No 2018-12:Targeted Improvements to the Accounting for Long-Duration Contracts Issued by Insurance Companies</v>
          </cell>
        </row>
        <row r="50">
          <cell r="D50" t="str">
            <v>LO#2 LFM-143-20: Fundamentals of the Principle-Based Approach to Statutory Reserves for Life Insurance, July 2019</v>
          </cell>
        </row>
        <row r="51">
          <cell r="D51" t="str">
            <v>LO#2 Impacts of AG 48, Financial Reporter, Dec 2015</v>
          </cell>
        </row>
        <row r="52">
          <cell r="D52" t="str">
            <v>LO#2 LFM-822-16: Study Note on Actuarial Guidelines AG 38 &amp; 48 (exclude pages 6 to 8)</v>
          </cell>
        </row>
        <row r="53">
          <cell r="D53" t="str">
            <v>LO#2 PBA Corner, Financial Reporter, Jun 2016</v>
          </cell>
        </row>
        <row r="54">
          <cell r="D54" t="str">
            <v>LO#2 Principle-Based Reserves Interactive Model</v>
          </cell>
        </row>
        <row r="55">
          <cell r="D55" t="str">
            <v>LO#2 Statutory Vauation of Individual Life &amp; Annuity Contracts, 5th Ed, 2018, Chapter 1 – Overview of Valuation Concepts (exclude 1.1-1.9)</v>
          </cell>
        </row>
        <row r="56">
          <cell r="D56" t="str">
            <v>LO#2 Statutory Vauation of Individual Life &amp; Annuity Contracts, 5th Ed, 2018, Chapter 10 – Valuation Assumptions (exclude 10.1.3, 10.3.8)</v>
          </cell>
        </row>
        <row r="57">
          <cell r="D57" t="str">
            <v>LO#2 Statutory Vauation of Individual Life &amp; Annuity Contracts, 5th Ed, 2018, Chapter 11 – Valuation Methodologies (exclude 11.3.9 to 11.3.11)</v>
          </cell>
        </row>
        <row r="58">
          <cell r="D58" t="str">
            <v xml:space="preserve">LO#2 Statutory Vauation of Individual Life &amp; Annuity Contracts, 5th Ed, 2018, Chapter 12 – Whole Life </v>
          </cell>
        </row>
        <row r="59">
          <cell r="D59" t="str">
            <v xml:space="preserve">LO#2 Statutory Vauation of Individual Life &amp; Annuity Contracts, 5th Ed, 2018, Chapter 13 – Term Life Insurance </v>
          </cell>
        </row>
        <row r="60">
          <cell r="D60" t="str">
            <v>LO#2 Statutory Vauation of Individual Life &amp; Annuity Contracts, 5th Ed, 2018, Chapter 14 – Universal Life (exclude 14.4.8, 14.4.9, 14.5.0, 14.6.2-14.6.6)</v>
          </cell>
        </row>
        <row r="61">
          <cell r="D61" t="str">
            <v>LO#2 Statutory Vauation of Individual Life &amp; Annuity Contracts, 5th Ed, 2018, Chapter 16 – Indexed Universal Life (exclude 16.4.2-16.4.3)</v>
          </cell>
        </row>
        <row r="62">
          <cell r="D62" t="str">
            <v>LO#2 Statutory Vauation of Individual Life &amp; Annuity Contracts, 5th Ed, 2018, Chapter 18 – Fixed Deferred  Annuities (exclude 18.7.4, 18.8)</v>
          </cell>
        </row>
        <row r="63">
          <cell r="D63" t="str">
            <v>LO#2 Statutory Vauation of Individual Life &amp; Annuity Contracts, 5th Ed, 2018, Chapter 19 – Variable Deferred Annuities</v>
          </cell>
        </row>
        <row r="64">
          <cell r="D64" t="str">
            <v>LO#2 Statutory Vauation of Individual Life &amp; Annuity Contracts, 5th Ed, 2018, Chapter 2 – Product Classifications (2.2 only)</v>
          </cell>
        </row>
        <row r="65">
          <cell r="D65" t="str">
            <v xml:space="preserve">LO#2 Statutory Vauation of Individual Life &amp; Annuity Contracts, 5th Ed, 2018, Chapter 20 – Indexed Deferred Annuities </v>
          </cell>
        </row>
        <row r="66">
          <cell r="D66" t="str">
            <v xml:space="preserve">LO#2 Statutory Vauation of Individual Life &amp; Annuity Contracts, 5th Ed, 2018, Chapter 21 – Immediate Annuities </v>
          </cell>
        </row>
        <row r="67">
          <cell r="D67" t="str">
            <v>LO#2 Statutory Vauation of Individual Life &amp; Annuity Contracts, 5th Ed, 2018, Chapter 22 – Miscellaneous Reserves (exclude 22.3 to 22.4) </v>
          </cell>
        </row>
        <row r="68">
          <cell r="D68" t="str">
            <v>LO#2 Statutory Vauation of Individual Life &amp; Annuity Contracts, 5th Ed, 2018, Chapter 23 – VM-20: PBR for Life Products (exclude 23.1)</v>
          </cell>
        </row>
        <row r="69">
          <cell r="D69" t="str">
            <v>LO#2 Statutory Vauation of Individual Life &amp; Annuity Contracts, 5th Ed, 2018, Chapter 24 - Addendum for Variable Annuity PBR Updates</v>
          </cell>
        </row>
        <row r="70">
          <cell r="D70" t="str">
            <v>LO#2 Statutory Vauation of Individual Life &amp; Annuity Contracts, 5th Ed, 2018, Chapter 25 - Principle-Based Reserve Report</v>
          </cell>
        </row>
        <row r="71">
          <cell r="D71" t="str">
            <v>LO#2 Statutory Vauation of Individual Life &amp; Annuity Contracts, 5th Ed, 2018, Chapter 3 – NAIC Annual Statement</v>
          </cell>
        </row>
        <row r="72">
          <cell r="D72" t="str">
            <v>LO#2 Statutory Vauation of Individual Life &amp; Annuity Contracts, 5th Ed, 2018, Chapter 4 – Standard Valuation Law</v>
          </cell>
        </row>
        <row r="73">
          <cell r="D73" t="str">
            <v>LO#2 Statutory Vauation of Individual Life &amp; Annuity Contracts, 5th Ed, 2018, Chapter 5 – The Valuation Manual</v>
          </cell>
        </row>
        <row r="74">
          <cell r="D74" t="str">
            <v>LO#3 Canadian Insurance Taxation, 4th Ed, 2015, Chapter 3-6, 9, 10, 11 &amp; 24</v>
          </cell>
        </row>
        <row r="75">
          <cell r="D75" t="str">
            <v>LO#3 CIA Educational Note: Future Income and Alternative Taxes, Dec 2012 (excluding Apeendix D)</v>
          </cell>
        </row>
        <row r="76">
          <cell r="D76" t="str">
            <v xml:space="preserve">LO#3 LFM-845-20: Chapters 1 and 2 of Life Insurance and Modified Endowments Under IRC §7702 and §7702A, Desrochers, 2nd Edition </v>
          </cell>
        </row>
        <row r="77">
          <cell r="D77" t="str">
            <v>LO#3 LFM-846-20: Company Tax – Introductory Study Note</v>
          </cell>
        </row>
        <row r="78">
          <cell r="D78" t="str">
            <v>LO#3 LFM-850-22: Changes to Section 7702 (IRC) and Nonforfeiture Interet Rates</v>
          </cell>
        </row>
        <row r="79">
          <cell r="D79" t="str">
            <v>LO#3 The Tax Cuts and Jobs Act of 2017— Effects on Life Insurers, American Academy of Actuaries, Oct 2020</v>
          </cell>
        </row>
        <row r="80">
          <cell r="D80" t="str">
            <v xml:space="preserve">LO#4 LFM-151-22: IAIS—International Capital Standard, ComFrame, Holistic Framework for Systemic Risk in the Insurance Sector, Sullivan &amp; Cromwell LLP, Dec 2019
Only pages 1-3, 8-28  </v>
          </cell>
        </row>
        <row r="81">
          <cell r="D81" t="str">
            <v>LO#4 LFM-636-20: OSFI Guideline A-4 Internal Target Capital Ratio for Insurance Companies, December 2017</v>
          </cell>
        </row>
        <row r="82">
          <cell r="D82" t="str">
            <v>LO#4 LFM-641-19: OSFI: Own Risk and Solvency Assessment (E-19), December 2017</v>
          </cell>
        </row>
        <row r="83">
          <cell r="D83" t="str">
            <v>LO#4 LFM-645-23: OSFI Guideline – Life Insurance Capital Adequacy Test (LICAT), July 2022, Ch. 1-11 (excluding Sections 4.2-4.4 &amp; 7.3-7.10)</v>
          </cell>
        </row>
        <row r="84">
          <cell r="D84" t="str">
            <v xml:space="preserve">LO#4 A Multi-Stakeholder Approach to Capital Adequacy, Conning Research </v>
          </cell>
        </row>
        <row r="85">
          <cell r="D85" t="str">
            <v>LO#4 Economic Capital for life Insurance Companies, SOA Research paper, Oct 2016 (exclude sections 5 and 7)</v>
          </cell>
        </row>
        <row r="86">
          <cell r="D86" t="str">
            <v>LO#4 LFM-148-20: The Theory of Risk Capital in Financial Firms</v>
          </cell>
        </row>
        <row r="87">
          <cell r="D87" t="str">
            <v>LO#4 ASOP 55 – Capital Adequacy Assessment, Section 3 and Appendix 1</v>
          </cell>
        </row>
        <row r="88">
          <cell r="D88" t="str">
            <v>LO#4 LFM-136-16: Chapter 11 of Life Insurance Products and Finance, Atkinson &amp; Dallas, pp. 499-502</v>
          </cell>
        </row>
        <row r="89">
          <cell r="D89" t="str">
            <v>LO#4 LFM-813-13: U.S. Insurance Regulation Solvency Framework and Current Topics</v>
          </cell>
        </row>
        <row r="90">
          <cell r="D90" t="str">
            <v xml:space="preserve">LO#4 LFM-852-22: Group Capital Calculation: Public Summary, National Association of Insurance Commissioners,  Dec 2020  </v>
          </cell>
        </row>
        <row r="91">
          <cell r="D91" t="str">
            <v>LO#4 LFM-853-22: Group Capital Calculation: Pictorial, National Association of Insurance Commissioners, Dec 2020</v>
          </cell>
        </row>
        <row r="92">
          <cell r="D92" t="str">
            <v>LO#4 LFM-854-22: NAIC Own Risk and Solvency Assessment (ORSA) Guidance Manual, National Association of Insurance Commissioners, Dec 2017</v>
          </cell>
        </row>
        <row r="93">
          <cell r="D93" t="str">
            <v>LO#4 Statutory Vauation of Individual Life &amp; Annuity Contracts, 5th Ed, 2018, Chapter 29 – Risk-Based Capital</v>
          </cell>
        </row>
        <row r="94">
          <cell r="D94" t="str">
            <v>LO#5 CIA: Sources of Earning: Determination and Disclosure, Aug 2004</v>
          </cell>
        </row>
        <row r="95">
          <cell r="D95" t="str">
            <v>LO#5 LFM-601-13: OSFI Guideline D-9: Sources of Earnings Disclosure (Life Insurance Companies)</v>
          </cell>
        </row>
        <row r="96">
          <cell r="D96" t="str">
            <v xml:space="preserve">LO#5 Embedded Value: Practice and Theory, SOA, Actuarial Practice Forum, March 2009 </v>
          </cell>
        </row>
        <row r="97">
          <cell r="D97" t="str">
            <v xml:space="preserve">LO#5 LFM-106-07: Insurance Industry Mergers and Acquisitions, Chapter 4 (Sections 4.1-4.6) </v>
          </cell>
        </row>
        <row r="98">
          <cell r="D98" t="str">
            <v xml:space="preserve">LO#5 LFM-138-16: Prudential Financial - Stockholder's Equity and Operating Leverage, HBR, 2008  </v>
          </cell>
        </row>
        <row r="99">
          <cell r="D99" t="str">
            <v>LO#5 LFM-152-22: Introduction to Source of Earnings Analysis (excluding Appendices)</v>
          </cell>
        </row>
        <row r="100">
          <cell r="D100" t="str">
            <v>LO#5 Statutory Vauation of Individual Life &amp; Annuity Contracts, 5th Ed, 2018, Chapter 19 – Variable Deferred Annuities, Section 19.4</v>
          </cell>
        </row>
        <row r="101">
          <cell r="D101" t="str">
            <v>LO#6 Bridging the GAAP: IFRS 17 and LDTI Differences Explored, Financial Reporter, July 2022</v>
          </cell>
        </row>
        <row r="102">
          <cell r="D102" t="str">
            <v>LO#6 LFM-141-18: IFRS 17 Insurance Contracts – IFRS Standards Effects Analysis, May 2017, IASB (sections 1, 2, 4 &amp; 6.1-2 only) - Reduced Page count as per US Exam?</v>
          </cell>
        </row>
        <row r="103">
          <cell r="D103" t="str">
            <v>LO#6 LFM-144-20: The Modernization of Insurance Company Solvency Regulation in the US (exclude Sections 7 and 9)</v>
          </cell>
        </row>
        <row r="104">
          <cell r="D104" t="str">
            <v xml:space="preserve">LO#6 LFM-151-22: IAIS—International Capital Standard, ComFrame, Holistic Framework for Systemic Risk in the Insurance Sector, Sullivan &amp; Cromwell LLP, Dec 2019, Pages 1-3, 8-28 </v>
          </cell>
        </row>
        <row r="105">
          <cell r="D105" t="str">
            <v>LO#6 LFM-847-20: Life Insurance Regulatory Framework, OSFI, 2012</v>
          </cell>
        </row>
        <row r="106">
          <cell r="D106" t="str">
            <v>LO#6 LFM-851-23: OSFI Guideline – Life Insurance Capital Adequacy Test (LICAT), July 2022, Only Ch. 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CFE 101 Questions and Solutions"/>
      <sheetName val="F24 Q2.c.ii Question"/>
      <sheetName val="F24 Q2.c.iv Question"/>
      <sheetName val="F24 Q2.c.ii and c.iv Solution"/>
      <sheetName val="F24 Q3-30k CapitalSim Scenarios"/>
      <sheetName val="F24 Q3.a.i Question"/>
      <sheetName val="F24 Q3.a.i Solution"/>
      <sheetName val="F24 Q3.a.ii Question"/>
      <sheetName val="F24 Q3.a.ii Solution"/>
      <sheetName val="F24 Q3.b.i Question"/>
      <sheetName val="F24 Q3.b.i Solution"/>
      <sheetName val="F24 Q4.b Question"/>
      <sheetName val="F24 Q4.b Solution"/>
      <sheetName val="S24 Q3 - Standalone CDFs"/>
      <sheetName val="S24 Q4.b.i Question"/>
      <sheetName val="S24 Q4.b.i Solution"/>
      <sheetName val="S24 Q5.b.i Question"/>
      <sheetName val="S24 Q5b.i Solution"/>
      <sheetName val="S24 Q5.b.ii Question"/>
      <sheetName val="S24 Q5.b.ii Solution"/>
      <sheetName val="S24 Q5.b.iii Question"/>
      <sheetName val="S24 Q5.b.iii. Solution"/>
      <sheetName val="F23 Q1.b.i Question"/>
      <sheetName val="F23 Q1.b.i Solution"/>
      <sheetName val="F23 Q4.a.i Question"/>
      <sheetName val="F23 Q4.a.i Solution"/>
      <sheetName val="F23 Q4.a.ii Question "/>
      <sheetName val="F23 Q4.a.ii Solution"/>
      <sheetName val="F23 Q4.b.i and Q4.b.ii Question"/>
      <sheetName val="F23 Q4.b.i and Q4.b.ii Solution"/>
      <sheetName val="F23 Q4.c.i Question"/>
      <sheetName val="F23 Q4.c.i Solution"/>
      <sheetName val="F23 Q5.b.i and 5.b.ii Question"/>
      <sheetName val="F23 Q5(b)(i) Solution"/>
      <sheetName val="F23 Q5(b)(ii) Solution"/>
      <sheetName val="F23 Q6.c.i and 6.c.ii Question"/>
      <sheetName val="F23 Q6c.1 and 6.c.ii Solution"/>
      <sheetName val="S23 Q5(a)(ii) Question"/>
      <sheetName val="S23 Q5 a(ii) Solution"/>
      <sheetName val="F22 Q2(a)(cash flow) Question"/>
      <sheetName val="F22 Q2(a)(rank) Question"/>
      <sheetName val="F22 Q2(a)(cash flow) Solution"/>
      <sheetName val="F22 Q2(a)(rank) Solution"/>
      <sheetName val="F22 Q6(a)(i) Question"/>
      <sheetName val="F22 Q6 (a)(i) Solution"/>
      <sheetName val="F22 Q6(b)(i)(ii)(iii) Question"/>
      <sheetName val="F22 Q6 (b)(i)(ii)(iii) Solution"/>
      <sheetName val="S22 Q1(c)(i),(ii),(iii)Question"/>
      <sheetName val="S22 Q1(c)(i),(ii),(iii)Solution"/>
      <sheetName val="S22 Q4 (a)(i) Question"/>
      <sheetName val="S22 Q4 (a)(i) Solution"/>
      <sheetName val="S22 Q4 (b)(ii) Question"/>
      <sheetName val="F21 Q3 (a)(ii) Credit Question"/>
      <sheetName val="S22 Q4 (b)(ii) Solution"/>
      <sheetName val="F21 Q3 (a)(ii) Credit Solution"/>
      <sheetName val="F21 Q3(a)(ii) Int Rate Question"/>
      <sheetName val="F21 Q3(a)(ii) Int Rate Solution"/>
      <sheetName val="F21 Q3 (b)(i) Aggr Question"/>
      <sheetName val="F21 Q3 (b)(i) Aggr Solution"/>
      <sheetName val="F21 Q3 (c)(i) Credit Question"/>
      <sheetName val="F21 Q3 (c)(i) Credit Solution"/>
      <sheetName val="F21 Q3 (c)(i) Int Rate Question"/>
      <sheetName val="F21 Q3 (c)(i) Int Rate Solution"/>
      <sheetName val="F21 Q3 (c)(i) Aggr Question"/>
      <sheetName val="F21 Q3 (c)(i) Aggr Solution"/>
      <sheetName val="F20 Q2(b)(i)(ii) Question"/>
      <sheetName val="F20 Q2(b)(i) (ii) Solution"/>
      <sheetName val="F20 Q2 (c)(i) Question"/>
      <sheetName val="F20 Q2(c)(i) Solution"/>
      <sheetName val="F20 Q4 (b)(i)(ii) Question"/>
      <sheetName val="F20 Q4 (b)(i)(ii) Sol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5110-F50E-41E4-B427-DA07B24A89EC}">
  <sheetPr>
    <tabColor rgb="FF0070C0"/>
    <pageSetUpPr autoPageBreaks="0"/>
  </sheetPr>
  <dimension ref="A6:K21"/>
  <sheetViews>
    <sheetView showGridLines="0" tabSelected="1" zoomScale="115" zoomScaleNormal="115" workbookViewId="0">
      <selection activeCell="N10" sqref="N10"/>
    </sheetView>
  </sheetViews>
  <sheetFormatPr defaultRowHeight="14.4"/>
  <cols>
    <col min="1" max="1" width="10.33203125" style="795" customWidth="1"/>
    <col min="2" max="9" width="8.88671875" style="795"/>
    <col min="10" max="10" width="12.88671875" style="795" customWidth="1"/>
    <col min="11" max="16384" width="8.88671875" style="795"/>
  </cols>
  <sheetData>
    <row r="6" spans="1:10" ht="33.6">
      <c r="A6" s="794" t="s">
        <v>1215</v>
      </c>
      <c r="B6" s="794"/>
      <c r="C6" s="794"/>
      <c r="D6" s="794"/>
      <c r="E6" s="794"/>
      <c r="F6" s="794"/>
      <c r="G6" s="794"/>
      <c r="H6" s="794"/>
      <c r="I6" s="794"/>
      <c r="J6" s="794"/>
    </row>
    <row r="7" spans="1:10" ht="6" customHeight="1">
      <c r="A7" s="796"/>
      <c r="B7" s="796"/>
      <c r="C7" s="796"/>
      <c r="D7" s="796"/>
      <c r="E7" s="796"/>
      <c r="F7" s="796"/>
      <c r="G7" s="796"/>
      <c r="H7" s="796"/>
      <c r="I7" s="796"/>
      <c r="J7" s="796"/>
    </row>
    <row r="8" spans="1:10" ht="20.399999999999999">
      <c r="A8" s="797" t="s">
        <v>1225</v>
      </c>
      <c r="B8" s="797"/>
      <c r="C8" s="797"/>
      <c r="D8" s="797"/>
      <c r="E8" s="797"/>
      <c r="F8" s="797"/>
      <c r="G8" s="797"/>
      <c r="H8" s="797"/>
      <c r="I8" s="797"/>
      <c r="J8" s="797"/>
    </row>
    <row r="10" spans="1:10" ht="75" customHeight="1">
      <c r="A10" s="798" t="s">
        <v>1216</v>
      </c>
      <c r="B10" s="799" t="s">
        <v>1217</v>
      </c>
      <c r="C10" s="799"/>
      <c r="D10" s="799"/>
      <c r="E10" s="799"/>
      <c r="F10" s="799"/>
      <c r="G10" s="799"/>
      <c r="H10" s="799"/>
      <c r="I10" s="799"/>
      <c r="J10" s="799"/>
    </row>
    <row r="11" spans="1:10">
      <c r="B11" s="800"/>
      <c r="C11" s="800"/>
      <c r="D11" s="800"/>
      <c r="E11" s="800"/>
      <c r="F11" s="800"/>
      <c r="G11" s="800"/>
      <c r="H11" s="800"/>
      <c r="I11" s="800"/>
      <c r="J11" s="800"/>
    </row>
    <row r="12" spans="1:10" ht="45" customHeight="1">
      <c r="A12" s="798" t="s">
        <v>1216</v>
      </c>
      <c r="B12" s="799" t="s">
        <v>1218</v>
      </c>
      <c r="C12" s="799"/>
      <c r="D12" s="799"/>
      <c r="E12" s="799"/>
      <c r="F12" s="799"/>
      <c r="G12" s="799"/>
      <c r="H12" s="799"/>
      <c r="I12" s="799"/>
      <c r="J12" s="799"/>
    </row>
    <row r="13" spans="1:10">
      <c r="B13" s="800"/>
      <c r="C13" s="800"/>
      <c r="D13" s="800"/>
      <c r="E13" s="800"/>
      <c r="F13" s="800"/>
      <c r="G13" s="800"/>
      <c r="H13" s="800"/>
      <c r="I13" s="800"/>
      <c r="J13" s="800"/>
    </row>
    <row r="14" spans="1:10" ht="45.6" customHeight="1">
      <c r="A14" s="798" t="s">
        <v>1216</v>
      </c>
      <c r="B14" s="799" t="s">
        <v>1219</v>
      </c>
      <c r="C14" s="799"/>
      <c r="D14" s="799"/>
      <c r="E14" s="799"/>
      <c r="F14" s="799"/>
      <c r="G14" s="799"/>
      <c r="H14" s="799"/>
      <c r="I14" s="799"/>
      <c r="J14" s="799"/>
    </row>
    <row r="15" spans="1:10">
      <c r="B15" s="800"/>
      <c r="C15" s="800"/>
      <c r="D15" s="800"/>
      <c r="E15" s="800"/>
      <c r="F15" s="800"/>
      <c r="G15" s="800"/>
      <c r="H15" s="800"/>
      <c r="I15" s="800"/>
      <c r="J15" s="800"/>
    </row>
    <row r="16" spans="1:10" ht="72.599999999999994" customHeight="1">
      <c r="A16" s="798" t="s">
        <v>1216</v>
      </c>
      <c r="B16" s="799" t="s">
        <v>1220</v>
      </c>
      <c r="C16" s="799"/>
      <c r="D16" s="799"/>
      <c r="E16" s="799"/>
      <c r="F16" s="799"/>
      <c r="G16" s="799"/>
      <c r="H16" s="799"/>
      <c r="I16" s="799"/>
      <c r="J16" s="799"/>
    </row>
    <row r="17" spans="1:11">
      <c r="B17" s="800"/>
      <c r="C17" s="800"/>
      <c r="D17" s="800"/>
      <c r="E17" s="800"/>
      <c r="F17" s="800"/>
      <c r="G17" s="800"/>
      <c r="H17" s="800"/>
      <c r="I17" s="800"/>
      <c r="J17" s="800"/>
      <c r="K17" s="801"/>
    </row>
    <row r="18" spans="1:11" ht="44.4" customHeight="1">
      <c r="A18" s="798" t="s">
        <v>1216</v>
      </c>
      <c r="B18" s="799" t="s">
        <v>1221</v>
      </c>
      <c r="C18" s="799"/>
      <c r="D18" s="799"/>
      <c r="E18" s="799"/>
      <c r="F18" s="799"/>
      <c r="G18" s="799"/>
      <c r="H18" s="799"/>
      <c r="I18" s="799"/>
      <c r="J18" s="799"/>
    </row>
    <row r="21" spans="1:11">
      <c r="B21" s="802" t="s">
        <v>1222</v>
      </c>
      <c r="C21" s="802"/>
      <c r="D21" s="803" t="s">
        <v>1223</v>
      </c>
      <c r="E21" s="803"/>
      <c r="F21" s="803"/>
      <c r="G21" s="803"/>
      <c r="H21" s="804" t="s">
        <v>1224</v>
      </c>
      <c r="I21" s="804"/>
      <c r="J21" s="804"/>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34EE-7228-4FEE-8D2E-D00083377240}">
  <sheetPr>
    <tabColor rgb="FFFF0000"/>
  </sheetPr>
  <dimension ref="A1:V26"/>
  <sheetViews>
    <sheetView workbookViewId="0">
      <selection activeCell="H12" sqref="H12"/>
    </sheetView>
  </sheetViews>
  <sheetFormatPr defaultColWidth="8.77734375" defaultRowHeight="14.4"/>
  <cols>
    <col min="1" max="1" width="14.6640625" style="40" customWidth="1"/>
    <col min="2" max="5" width="16.109375" style="40" customWidth="1"/>
    <col min="6" max="16384" width="8.77734375" style="40"/>
  </cols>
  <sheetData>
    <row r="1" spans="1:22" ht="17.399999999999999">
      <c r="A1" s="27" t="s">
        <v>307</v>
      </c>
      <c r="B1" s="28"/>
      <c r="C1" s="28"/>
      <c r="D1" s="28"/>
      <c r="E1" s="28"/>
      <c r="F1" s="28"/>
      <c r="G1" s="28"/>
      <c r="H1" s="28"/>
      <c r="I1" s="28"/>
      <c r="J1" s="28"/>
      <c r="K1" s="28"/>
      <c r="L1" s="28"/>
      <c r="M1" s="28"/>
      <c r="N1" s="28"/>
      <c r="O1" s="28"/>
      <c r="P1" s="28"/>
      <c r="Q1" s="28"/>
      <c r="R1" s="28"/>
      <c r="S1" s="28"/>
      <c r="T1" s="28"/>
      <c r="U1" s="28"/>
      <c r="V1" s="28"/>
    </row>
    <row r="2" spans="1:22" ht="15.6">
      <c r="A2" s="29" t="s">
        <v>308</v>
      </c>
      <c r="B2" s="28"/>
      <c r="C2" s="28"/>
      <c r="D2" s="28"/>
      <c r="E2" s="28"/>
      <c r="F2" s="28"/>
      <c r="G2" s="28"/>
      <c r="H2" s="28"/>
      <c r="I2" s="28"/>
      <c r="J2" s="28"/>
      <c r="K2" s="28"/>
    </row>
    <row r="3" spans="1:22" ht="15.6">
      <c r="A3" s="29" t="s">
        <v>41</v>
      </c>
      <c r="B3" s="30"/>
      <c r="C3" s="30"/>
      <c r="D3" s="30"/>
      <c r="E3" s="30"/>
      <c r="F3" s="30"/>
      <c r="G3" s="30"/>
      <c r="H3" s="30"/>
      <c r="I3" s="30"/>
      <c r="J3" s="30"/>
      <c r="K3" s="28"/>
    </row>
    <row r="4" spans="1:22">
      <c r="A4" s="28"/>
      <c r="B4" s="28"/>
      <c r="C4" s="28"/>
      <c r="D4" s="28"/>
      <c r="E4" s="28"/>
      <c r="F4" s="28"/>
      <c r="G4" s="28"/>
      <c r="H4" s="28"/>
      <c r="I4" s="28"/>
      <c r="J4" s="28"/>
      <c r="K4" s="28"/>
    </row>
    <row r="5" spans="1:22" ht="15.6">
      <c r="A5" s="38" t="s">
        <v>309</v>
      </c>
      <c r="B5" s="28"/>
      <c r="C5" s="28"/>
      <c r="D5" s="28"/>
      <c r="E5" s="28"/>
      <c r="F5" s="28"/>
      <c r="G5" s="28"/>
      <c r="H5" s="28"/>
      <c r="I5" s="28"/>
      <c r="J5" s="28"/>
      <c r="K5" s="28"/>
    </row>
    <row r="6" spans="1:22" ht="15.6">
      <c r="A6" s="38"/>
      <c r="B6" s="28"/>
      <c r="C6" s="28"/>
      <c r="D6" s="28"/>
      <c r="E6" s="28"/>
      <c r="F6" s="28"/>
      <c r="G6" s="28"/>
      <c r="H6" s="28"/>
      <c r="I6" s="28"/>
      <c r="J6" s="28"/>
      <c r="K6" s="28"/>
    </row>
    <row r="7" spans="1:22">
      <c r="A7" s="185" t="s">
        <v>310</v>
      </c>
      <c r="B7" s="185" t="s">
        <v>311</v>
      </c>
      <c r="C7" s="185" t="s">
        <v>312</v>
      </c>
      <c r="D7" s="28"/>
      <c r="E7" s="28"/>
      <c r="F7" s="28"/>
      <c r="G7" s="28"/>
      <c r="H7" s="28"/>
      <c r="I7" s="28"/>
      <c r="J7" s="28"/>
      <c r="K7" s="28"/>
    </row>
    <row r="8" spans="1:22">
      <c r="A8" s="185">
        <v>1</v>
      </c>
      <c r="B8" s="186">
        <v>0.02</v>
      </c>
      <c r="C8" s="186">
        <v>0.03</v>
      </c>
      <c r="D8" s="28"/>
      <c r="E8" s="28"/>
      <c r="F8" s="28"/>
      <c r="G8" s="28"/>
      <c r="H8" s="28"/>
      <c r="I8" s="28"/>
      <c r="J8" s="28"/>
      <c r="K8" s="28"/>
    </row>
    <row r="9" spans="1:22">
      <c r="A9" s="185">
        <v>2</v>
      </c>
      <c r="B9" s="186">
        <v>0.03</v>
      </c>
      <c r="C9" s="186">
        <v>3.5000000000000003E-2</v>
      </c>
      <c r="D9" s="28"/>
      <c r="E9" s="28"/>
      <c r="F9" s="28"/>
      <c r="G9" s="28"/>
      <c r="H9" s="28"/>
      <c r="I9" s="28"/>
      <c r="J9" s="28"/>
      <c r="K9" s="28"/>
    </row>
    <row r="10" spans="1:22">
      <c r="A10" s="185">
        <v>3</v>
      </c>
      <c r="B10" s="186">
        <v>0.05</v>
      </c>
      <c r="C10" s="186">
        <v>0.06</v>
      </c>
      <c r="D10" s="28"/>
      <c r="E10" s="28"/>
      <c r="F10" s="28"/>
      <c r="G10" s="28"/>
      <c r="H10" s="28"/>
      <c r="I10" s="28"/>
      <c r="J10" s="28"/>
      <c r="K10" s="28"/>
    </row>
    <row r="11" spans="1:22">
      <c r="A11" s="185">
        <v>4</v>
      </c>
      <c r="B11" s="186">
        <v>4.4999999999999998E-2</v>
      </c>
      <c r="C11" s="186">
        <v>0.05</v>
      </c>
      <c r="D11" s="28"/>
      <c r="E11" s="28"/>
      <c r="F11" s="28"/>
      <c r="G11" s="28"/>
      <c r="H11" s="28"/>
      <c r="I11" s="28"/>
      <c r="J11" s="28"/>
      <c r="K11" s="28"/>
    </row>
    <row r="12" spans="1:22">
      <c r="A12" s="185">
        <v>5</v>
      </c>
      <c r="B12" s="186">
        <v>0.06</v>
      </c>
      <c r="C12" s="186">
        <v>6.5000000000000002E-2</v>
      </c>
      <c r="D12" s="28"/>
      <c r="E12" s="28"/>
      <c r="F12" s="28"/>
      <c r="G12" s="28"/>
      <c r="H12" s="28"/>
      <c r="I12" s="28"/>
      <c r="J12" s="28"/>
      <c r="K12" s="28"/>
    </row>
    <row r="13" spans="1:22">
      <c r="A13" s="185">
        <v>6</v>
      </c>
      <c r="B13" s="186">
        <v>2.5000000000000001E-2</v>
      </c>
      <c r="C13" s="186">
        <v>0.04</v>
      </c>
      <c r="D13" s="28"/>
      <c r="E13" s="28"/>
      <c r="F13" s="28"/>
      <c r="G13" s="28"/>
      <c r="H13" s="28"/>
      <c r="I13" s="28"/>
      <c r="J13" s="28"/>
      <c r="K13" s="28"/>
    </row>
    <row r="14" spans="1:22">
      <c r="A14" s="185">
        <v>7</v>
      </c>
      <c r="B14" s="186">
        <v>0.04</v>
      </c>
      <c r="C14" s="186">
        <v>5.5E-2</v>
      </c>
      <c r="D14" s="28"/>
      <c r="E14" s="28"/>
      <c r="F14" s="28"/>
      <c r="G14" s="28"/>
      <c r="H14" s="28"/>
      <c r="I14" s="28"/>
      <c r="J14" s="28"/>
      <c r="K14" s="28"/>
    </row>
    <row r="15" spans="1:22">
      <c r="A15" s="185">
        <v>8</v>
      </c>
      <c r="B15" s="186">
        <v>0.01</v>
      </c>
      <c r="C15" s="186">
        <v>1.4999999999999999E-2</v>
      </c>
      <c r="D15" s="28"/>
      <c r="E15" s="28"/>
      <c r="F15" s="28"/>
      <c r="G15" s="28"/>
      <c r="H15" s="28"/>
      <c r="I15" s="28"/>
      <c r="J15" s="28"/>
      <c r="K15" s="28"/>
    </row>
    <row r="16" spans="1:22">
      <c r="A16" s="185">
        <v>9</v>
      </c>
      <c r="B16" s="186">
        <v>3.2000000000000001E-2</v>
      </c>
      <c r="C16" s="186">
        <v>4.4999999999999998E-2</v>
      </c>
      <c r="D16" s="28"/>
      <c r="E16" s="28"/>
      <c r="F16" s="28"/>
      <c r="G16" s="28"/>
      <c r="H16" s="28"/>
      <c r="I16" s="28"/>
      <c r="J16" s="28"/>
      <c r="K16" s="28"/>
    </row>
    <row r="17" spans="1:11">
      <c r="A17" s="185">
        <v>10</v>
      </c>
      <c r="B17" s="186">
        <v>0.04</v>
      </c>
      <c r="C17" s="186">
        <v>4.4999999999999998E-2</v>
      </c>
      <c r="D17" s="28"/>
      <c r="E17" s="28"/>
      <c r="F17" s="28"/>
      <c r="G17" s="28"/>
      <c r="H17" s="28"/>
      <c r="I17" s="28"/>
      <c r="J17" s="28"/>
      <c r="K17" s="28"/>
    </row>
    <row r="18" spans="1:11">
      <c r="A18" s="185">
        <v>11</v>
      </c>
      <c r="B18" s="186">
        <v>4.2999999999999997E-2</v>
      </c>
      <c r="C18" s="186">
        <v>0.04</v>
      </c>
      <c r="D18" s="28"/>
      <c r="E18" s="28"/>
      <c r="F18" s="28"/>
      <c r="G18" s="28"/>
      <c r="H18" s="28"/>
      <c r="I18" s="28"/>
      <c r="J18" s="28"/>
      <c r="K18" s="28"/>
    </row>
    <row r="19" spans="1:11" ht="15.6">
      <c r="A19" s="187"/>
      <c r="B19" s="28"/>
      <c r="C19" s="28"/>
      <c r="D19" s="28"/>
      <c r="E19" s="28"/>
      <c r="F19" s="28"/>
      <c r="G19" s="28"/>
      <c r="H19" s="28"/>
      <c r="I19" s="28"/>
      <c r="J19" s="28"/>
      <c r="K19" s="28"/>
    </row>
    <row r="20" spans="1:11" ht="15.6">
      <c r="A20" s="187" t="s">
        <v>313</v>
      </c>
      <c r="B20" s="28"/>
      <c r="C20" s="28"/>
      <c r="D20" s="28"/>
      <c r="E20" s="28"/>
      <c r="F20" s="28"/>
      <c r="G20" s="28"/>
      <c r="H20" s="28"/>
      <c r="I20" s="28"/>
      <c r="J20" s="28"/>
      <c r="K20" s="28"/>
    </row>
    <row r="21" spans="1:11" ht="15.6">
      <c r="A21" s="187"/>
      <c r="B21" s="28"/>
      <c r="C21" s="28"/>
      <c r="D21" s="28"/>
      <c r="E21" s="28"/>
      <c r="F21" s="28"/>
      <c r="G21" s="28"/>
      <c r="H21" s="28"/>
      <c r="I21" s="28"/>
      <c r="J21" s="28"/>
      <c r="K21" s="28"/>
    </row>
    <row r="22" spans="1:11">
      <c r="A22" s="188" t="s">
        <v>154</v>
      </c>
      <c r="B22" s="188" t="s">
        <v>311</v>
      </c>
      <c r="C22" s="188" t="s">
        <v>312</v>
      </c>
      <c r="D22" s="188" t="s">
        <v>314</v>
      </c>
      <c r="E22" s="28"/>
      <c r="F22" s="28"/>
      <c r="G22" s="28"/>
      <c r="H22" s="28"/>
      <c r="I22" s="28"/>
      <c r="J22" s="28"/>
      <c r="K22" s="28"/>
    </row>
    <row r="23" spans="1:11">
      <c r="A23" s="189">
        <v>0.1</v>
      </c>
      <c r="B23" s="190">
        <v>0.01</v>
      </c>
      <c r="C23" s="190">
        <v>0.04</v>
      </c>
      <c r="D23" s="190">
        <v>0.01</v>
      </c>
      <c r="E23" s="28"/>
      <c r="F23" s="28"/>
      <c r="G23" s="28"/>
      <c r="H23" s="28"/>
      <c r="I23" s="28"/>
      <c r="J23" s="28"/>
      <c r="K23" s="28"/>
    </row>
    <row r="24" spans="1:11">
      <c r="A24" s="189">
        <v>0.9</v>
      </c>
      <c r="B24" s="190">
        <v>0.04</v>
      </c>
      <c r="C24" s="190">
        <v>0.05</v>
      </c>
      <c r="D24" s="190">
        <v>0.02</v>
      </c>
      <c r="E24" s="28"/>
      <c r="F24" s="28"/>
      <c r="G24" s="28"/>
      <c r="H24" s="28"/>
      <c r="I24" s="28"/>
      <c r="J24" s="28"/>
      <c r="K24" s="28"/>
    </row>
    <row r="25" spans="1:11">
      <c r="A25" s="28"/>
      <c r="B25" s="28"/>
      <c r="C25" s="28"/>
      <c r="D25" s="28"/>
      <c r="E25" s="28"/>
      <c r="F25" s="28"/>
      <c r="G25" s="28"/>
      <c r="H25" s="28"/>
      <c r="I25" s="28"/>
      <c r="J25" s="28"/>
      <c r="K25" s="28"/>
    </row>
    <row r="26" spans="1:11" ht="15.6">
      <c r="A26" s="58" t="s">
        <v>303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7EEB5-3AA7-496D-A881-CC77976A60E6}">
  <sheetPr>
    <tabColor theme="7" tint="0.79998168889431442"/>
  </sheetPr>
  <dimension ref="A1:V37"/>
  <sheetViews>
    <sheetView workbookViewId="0">
      <selection activeCell="F15" sqref="F15"/>
    </sheetView>
  </sheetViews>
  <sheetFormatPr defaultColWidth="8.77734375" defaultRowHeight="14.4"/>
  <cols>
    <col min="1" max="1" width="8.77734375" style="40"/>
    <col min="2" max="2" width="25.77734375" style="40" customWidth="1"/>
    <col min="3" max="3" width="22.33203125" style="40" customWidth="1"/>
    <col min="4" max="4" width="17.77734375" style="40" customWidth="1"/>
    <col min="5" max="16384" width="8.77734375" style="40"/>
  </cols>
  <sheetData>
    <row r="1" spans="1:22" ht="17.399999999999999">
      <c r="A1" s="27" t="s">
        <v>106</v>
      </c>
      <c r="B1" s="28"/>
      <c r="C1" s="28"/>
      <c r="D1" s="28"/>
      <c r="E1" s="28"/>
      <c r="F1" s="28"/>
      <c r="G1" s="28"/>
      <c r="H1" s="28"/>
      <c r="I1" s="28"/>
      <c r="J1" s="28"/>
      <c r="K1" s="28"/>
      <c r="L1" s="28"/>
      <c r="M1" s="28"/>
      <c r="N1" s="28"/>
      <c r="O1" s="28"/>
      <c r="P1" s="28"/>
      <c r="Q1" s="28"/>
      <c r="R1" s="28"/>
      <c r="S1" s="28"/>
      <c r="T1" s="28"/>
      <c r="U1" s="28"/>
      <c r="V1" s="28"/>
    </row>
    <row r="2" spans="1:22" ht="15.6">
      <c r="A2" s="29" t="s">
        <v>315</v>
      </c>
      <c r="B2" s="28"/>
      <c r="C2" s="28"/>
      <c r="D2" s="28"/>
      <c r="E2" s="28"/>
      <c r="F2" s="28"/>
      <c r="G2" s="28"/>
      <c r="H2" s="28"/>
      <c r="I2" s="28"/>
      <c r="J2" s="28"/>
      <c r="K2" s="28"/>
    </row>
    <row r="3" spans="1:22" ht="15.6">
      <c r="A3" s="29" t="s">
        <v>43</v>
      </c>
      <c r="B3" s="30"/>
      <c r="C3" s="30"/>
      <c r="D3" s="30"/>
      <c r="E3" s="30"/>
      <c r="F3" s="30"/>
      <c r="G3" s="30"/>
      <c r="H3" s="30"/>
      <c r="I3" s="30"/>
      <c r="J3" s="30"/>
      <c r="K3" s="28"/>
    </row>
    <row r="4" spans="1:22" ht="15.6">
      <c r="A4" s="29"/>
      <c r="B4" s="28"/>
      <c r="C4" s="28"/>
      <c r="D4" s="28"/>
      <c r="E4" s="28"/>
      <c r="F4" s="28"/>
      <c r="G4" s="28"/>
      <c r="H4" s="28"/>
      <c r="I4" s="28"/>
      <c r="J4" s="28"/>
      <c r="K4" s="28"/>
    </row>
    <row r="5" spans="1:22" ht="15.6">
      <c r="A5" s="38" t="s">
        <v>316</v>
      </c>
      <c r="B5" s="28"/>
      <c r="C5" s="28"/>
      <c r="D5" s="28"/>
      <c r="E5" s="28"/>
      <c r="F5" s="28"/>
      <c r="G5" s="28"/>
      <c r="H5" s="28"/>
      <c r="I5" s="28"/>
    </row>
    <row r="6" spans="1:22" ht="15.6">
      <c r="A6" s="191" t="s">
        <v>317</v>
      </c>
      <c r="B6" s="28"/>
      <c r="C6" s="28"/>
      <c r="D6" s="28"/>
      <c r="E6" s="28"/>
      <c r="F6" s="28"/>
      <c r="G6" s="28"/>
      <c r="H6" s="28"/>
      <c r="I6" s="28"/>
    </row>
    <row r="7" spans="1:22" ht="15.6">
      <c r="A7" s="191" t="s">
        <v>318</v>
      </c>
      <c r="B7" s="28"/>
      <c r="C7" s="28"/>
      <c r="D7" s="28"/>
      <c r="E7" s="28"/>
      <c r="F7" s="28"/>
      <c r="G7" s="28"/>
      <c r="H7" s="28"/>
      <c r="I7" s="28"/>
    </row>
    <row r="8" spans="1:22" ht="15.6">
      <c r="A8" s="191" t="s">
        <v>319</v>
      </c>
      <c r="B8" s="28"/>
      <c r="C8" s="28"/>
      <c r="D8" s="28"/>
      <c r="E8" s="28"/>
      <c r="F8" s="28"/>
      <c r="G8" s="28"/>
      <c r="H8" s="28"/>
      <c r="I8" s="28"/>
    </row>
    <row r="9" spans="1:22" ht="15.6">
      <c r="A9" s="191" t="s">
        <v>320</v>
      </c>
      <c r="B9" s="28"/>
      <c r="C9" s="28"/>
      <c r="D9" s="28"/>
      <c r="E9" s="28"/>
      <c r="F9" s="28"/>
      <c r="G9" s="28"/>
      <c r="H9" s="28"/>
      <c r="I9" s="28"/>
    </row>
    <row r="10" spans="1:22" ht="15.6">
      <c r="A10" s="191" t="s">
        <v>321</v>
      </c>
      <c r="B10" s="28"/>
      <c r="C10" s="28"/>
      <c r="D10" s="28"/>
      <c r="E10" s="28"/>
      <c r="F10" s="28"/>
      <c r="G10" s="28"/>
      <c r="H10" s="28"/>
      <c r="I10" s="28"/>
    </row>
    <row r="11" spans="1:22" ht="15.6">
      <c r="A11" s="191" t="s">
        <v>322</v>
      </c>
      <c r="B11" s="28"/>
      <c r="C11" s="28"/>
      <c r="D11" s="28"/>
      <c r="E11" s="28"/>
      <c r="F11" s="28"/>
      <c r="G11" s="28"/>
      <c r="H11" s="28"/>
      <c r="I11" s="28"/>
    </row>
    <row r="12" spans="1:22" ht="15.6">
      <c r="A12" s="191" t="s">
        <v>323</v>
      </c>
      <c r="B12" s="28"/>
      <c r="C12" s="28"/>
      <c r="D12" s="28"/>
      <c r="E12" s="28"/>
      <c r="F12" s="28"/>
      <c r="G12" s="28"/>
      <c r="H12" s="28"/>
      <c r="I12" s="28"/>
    </row>
    <row r="13" spans="1:22" ht="15.6">
      <c r="A13" s="191" t="s">
        <v>324</v>
      </c>
      <c r="B13" s="28"/>
      <c r="C13" s="28"/>
      <c r="D13" s="28"/>
      <c r="E13" s="28"/>
      <c r="F13" s="28"/>
      <c r="G13" s="28"/>
      <c r="H13" s="28"/>
      <c r="I13" s="28"/>
    </row>
    <row r="14" spans="1:22" ht="15.6">
      <c r="A14" s="191" t="s">
        <v>325</v>
      </c>
      <c r="B14" s="28"/>
      <c r="C14" s="28"/>
      <c r="D14" s="28"/>
      <c r="E14" s="28"/>
      <c r="F14" s="28"/>
      <c r="G14" s="28"/>
      <c r="H14" s="28"/>
      <c r="I14" s="28"/>
    </row>
    <row r="15" spans="1:22" ht="15.6" thickBot="1">
      <c r="A15" s="191"/>
      <c r="B15" s="28"/>
      <c r="C15" s="28"/>
      <c r="D15" s="28"/>
      <c r="E15" s="28"/>
      <c r="F15" s="28"/>
      <c r="G15" s="28"/>
      <c r="H15" s="28"/>
      <c r="I15" s="28"/>
    </row>
    <row r="16" spans="1:22" ht="31.8" thickBot="1">
      <c r="A16" s="169" t="s">
        <v>104</v>
      </c>
      <c r="B16" s="167" t="s">
        <v>326</v>
      </c>
      <c r="C16" s="167" t="s">
        <v>327</v>
      </c>
      <c r="D16" s="166" t="s">
        <v>328</v>
      </c>
      <c r="E16" s="28"/>
      <c r="F16" s="28"/>
      <c r="G16" s="28"/>
      <c r="H16" s="28"/>
      <c r="I16" s="28"/>
    </row>
    <row r="17" spans="1:9" ht="16.2" thickBot="1">
      <c r="A17" s="192">
        <v>1</v>
      </c>
      <c r="B17" s="193">
        <v>100000</v>
      </c>
      <c r="C17" s="193">
        <v>10000</v>
      </c>
      <c r="D17" s="194">
        <v>1</v>
      </c>
      <c r="E17" s="28"/>
      <c r="F17" s="28"/>
      <c r="G17" s="28"/>
      <c r="H17" s="28"/>
      <c r="I17" s="28"/>
    </row>
    <row r="18" spans="1:9" ht="16.2" thickBot="1">
      <c r="A18" s="195">
        <v>2</v>
      </c>
      <c r="B18" s="193">
        <v>100000</v>
      </c>
      <c r="C18" s="193">
        <v>10000</v>
      </c>
      <c r="D18" s="194">
        <v>0.95</v>
      </c>
      <c r="E18" s="28"/>
      <c r="F18" s="28"/>
      <c r="G18" s="28"/>
      <c r="H18" s="28"/>
      <c r="I18" s="28"/>
    </row>
    <row r="19" spans="1:9" ht="16.2" thickBot="1">
      <c r="A19" s="195">
        <v>3</v>
      </c>
      <c r="B19" s="193">
        <v>100000</v>
      </c>
      <c r="C19" s="193">
        <v>10000</v>
      </c>
      <c r="D19" s="194">
        <v>0.90300000000000002</v>
      </c>
      <c r="E19" s="28"/>
      <c r="F19" s="28"/>
      <c r="G19" s="28"/>
      <c r="H19" s="28"/>
      <c r="I19" s="28"/>
    </row>
    <row r="20" spans="1:9" ht="16.2" thickBot="1">
      <c r="A20" s="195">
        <v>4</v>
      </c>
      <c r="B20" s="193">
        <v>100000</v>
      </c>
      <c r="C20" s="193">
        <v>10000</v>
      </c>
      <c r="D20" s="194">
        <v>0.85699999999999998</v>
      </c>
      <c r="E20" s="28"/>
      <c r="F20" s="28"/>
      <c r="G20" s="28"/>
      <c r="H20" s="28"/>
      <c r="I20" s="28"/>
    </row>
    <row r="21" spans="1:9" ht="16.2" thickBot="1">
      <c r="A21" s="195">
        <v>5</v>
      </c>
      <c r="B21" s="193">
        <v>100000</v>
      </c>
      <c r="C21" s="193">
        <v>10000</v>
      </c>
      <c r="D21" s="194">
        <v>0.81499999999999995</v>
      </c>
      <c r="E21" s="28"/>
      <c r="F21" s="28"/>
      <c r="G21" s="28"/>
      <c r="H21" s="28"/>
      <c r="I21" s="28"/>
    </row>
    <row r="22" spans="1:9" ht="16.2" thickBot="1">
      <c r="A22" s="195">
        <v>6</v>
      </c>
      <c r="B22" s="193">
        <v>100000</v>
      </c>
      <c r="C22" s="170">
        <v>0</v>
      </c>
      <c r="D22" s="194">
        <v>0.77400000000000002</v>
      </c>
      <c r="E22" s="28"/>
      <c r="F22" s="28"/>
      <c r="G22" s="28"/>
      <c r="H22" s="28"/>
      <c r="I22" s="28"/>
    </row>
    <row r="23" spans="1:9" ht="16.2" thickBot="1">
      <c r="A23" s="195">
        <v>7</v>
      </c>
      <c r="B23" s="193">
        <v>100000</v>
      </c>
      <c r="C23" s="170">
        <v>0</v>
      </c>
      <c r="D23" s="194">
        <v>0.73499999999999999</v>
      </c>
      <c r="E23" s="28"/>
      <c r="F23" s="28"/>
      <c r="G23" s="28"/>
      <c r="H23" s="28"/>
      <c r="I23" s="28"/>
    </row>
    <row r="24" spans="1:9" ht="16.2" thickBot="1">
      <c r="A24" s="195">
        <v>8</v>
      </c>
      <c r="B24" s="193">
        <v>100000</v>
      </c>
      <c r="C24" s="170">
        <v>0</v>
      </c>
      <c r="D24" s="194">
        <v>0.69799999999999995</v>
      </c>
      <c r="E24" s="28"/>
      <c r="F24" s="28"/>
      <c r="G24" s="28"/>
      <c r="H24" s="28"/>
      <c r="I24" s="28"/>
    </row>
    <row r="25" spans="1:9">
      <c r="A25" s="28"/>
      <c r="B25" s="28"/>
      <c r="C25" s="28"/>
      <c r="D25" s="28"/>
      <c r="E25" s="28"/>
      <c r="F25" s="28"/>
      <c r="G25" s="28"/>
      <c r="H25" s="28"/>
      <c r="I25" s="28"/>
    </row>
    <row r="26" spans="1:9" ht="15.6">
      <c r="A26" s="38" t="s">
        <v>329</v>
      </c>
      <c r="B26" s="28"/>
      <c r="C26" s="28"/>
      <c r="D26" s="28"/>
      <c r="E26" s="28"/>
      <c r="F26" s="28"/>
      <c r="G26" s="28"/>
      <c r="H26" s="28"/>
      <c r="I26" s="28"/>
    </row>
    <row r="27" spans="1:9" ht="15.6">
      <c r="A27" s="38" t="s">
        <v>132</v>
      </c>
      <c r="B27" s="28"/>
      <c r="C27" s="28"/>
      <c r="D27" s="28"/>
      <c r="E27" s="28"/>
      <c r="F27" s="28"/>
      <c r="G27" s="28"/>
      <c r="H27" s="28"/>
      <c r="I27" s="28"/>
    </row>
    <row r="28" spans="1:9" ht="15.6">
      <c r="A28" s="38" t="s">
        <v>330</v>
      </c>
      <c r="B28" s="28"/>
      <c r="C28" s="28"/>
      <c r="D28" s="28"/>
      <c r="E28" s="28"/>
      <c r="F28" s="28"/>
      <c r="G28" s="28"/>
      <c r="H28" s="28"/>
      <c r="I28" s="28"/>
    </row>
    <row r="29" spans="1:9" ht="15.6">
      <c r="A29" s="68" t="s">
        <v>303</v>
      </c>
    </row>
    <row r="30" spans="1:9" ht="15.6">
      <c r="A30" s="68"/>
    </row>
    <row r="31" spans="1:9" ht="15.6">
      <c r="A31" s="68"/>
    </row>
    <row r="32" spans="1:9" ht="15.6">
      <c r="A32" s="68"/>
    </row>
    <row r="33" spans="1:9" ht="15.6">
      <c r="A33" s="68"/>
    </row>
    <row r="34" spans="1:9" ht="15.6">
      <c r="A34" s="68"/>
    </row>
    <row r="35" spans="1:9" ht="15.6">
      <c r="A35" s="38" t="s">
        <v>331</v>
      </c>
      <c r="B35" s="28"/>
      <c r="C35" s="28"/>
      <c r="D35" s="28"/>
      <c r="E35" s="28"/>
      <c r="F35" s="28"/>
      <c r="G35" s="28"/>
      <c r="H35" s="28"/>
      <c r="I35" s="28"/>
    </row>
    <row r="36" spans="1:9" ht="15.6">
      <c r="A36" s="68" t="s">
        <v>303</v>
      </c>
    </row>
    <row r="37" spans="1:9" ht="15.6">
      <c r="A37" s="5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8196-0C58-4A3C-8FBC-9394108645A6}">
  <sheetPr>
    <tabColor theme="7" tint="0.79998168889431442"/>
  </sheetPr>
  <dimension ref="A1:V18"/>
  <sheetViews>
    <sheetView workbookViewId="0">
      <selection activeCell="F15" sqref="F15"/>
    </sheetView>
  </sheetViews>
  <sheetFormatPr defaultColWidth="8.77734375" defaultRowHeight="14.4"/>
  <cols>
    <col min="1" max="1" width="26.21875" style="40" customWidth="1"/>
    <col min="2" max="2" width="12.44140625" style="40" customWidth="1"/>
    <col min="3" max="16384" width="8.77734375" style="40"/>
  </cols>
  <sheetData>
    <row r="1" spans="1:22" ht="17.399999999999999">
      <c r="A1" s="27" t="s">
        <v>332</v>
      </c>
      <c r="B1" s="28"/>
      <c r="C1" s="28"/>
      <c r="D1" s="28"/>
      <c r="E1" s="28"/>
      <c r="F1" s="28"/>
      <c r="G1" s="28"/>
      <c r="H1" s="28"/>
      <c r="I1" s="28"/>
      <c r="J1" s="28"/>
      <c r="K1" s="28"/>
      <c r="L1" s="28"/>
      <c r="M1" s="28"/>
      <c r="N1" s="28"/>
      <c r="O1" s="28"/>
      <c r="P1" s="28"/>
      <c r="Q1" s="28"/>
      <c r="R1" s="28"/>
      <c r="S1" s="28"/>
      <c r="T1" s="28"/>
      <c r="U1" s="28"/>
      <c r="V1" s="28"/>
    </row>
    <row r="2" spans="1:22" ht="15.6">
      <c r="A2" s="29" t="s">
        <v>333</v>
      </c>
      <c r="B2" s="28"/>
      <c r="C2" s="28"/>
      <c r="D2" s="28"/>
      <c r="E2" s="28"/>
      <c r="F2" s="28"/>
      <c r="G2" s="28"/>
      <c r="H2" s="28"/>
      <c r="I2" s="28"/>
      <c r="J2" s="28"/>
      <c r="K2" s="28"/>
      <c r="L2" s="28"/>
      <c r="M2" s="28"/>
      <c r="N2" s="28"/>
    </row>
    <row r="3" spans="1:22" ht="15.6">
      <c r="A3" s="29" t="s">
        <v>334</v>
      </c>
      <c r="B3" s="30"/>
      <c r="C3" s="30"/>
      <c r="D3" s="30"/>
      <c r="E3" s="30"/>
      <c r="F3" s="30"/>
      <c r="G3" s="30"/>
      <c r="H3" s="30"/>
      <c r="I3" s="30"/>
      <c r="J3" s="30"/>
      <c r="K3" s="28"/>
      <c r="L3" s="28"/>
      <c r="M3" s="28"/>
      <c r="N3" s="28"/>
    </row>
    <row r="4" spans="1:22" ht="15.6">
      <c r="A4" s="29"/>
      <c r="B4" s="28"/>
      <c r="C4" s="28"/>
      <c r="D4" s="28"/>
      <c r="E4" s="28"/>
      <c r="F4" s="28"/>
      <c r="G4" s="28"/>
      <c r="H4" s="28"/>
      <c r="I4" s="28"/>
      <c r="J4" s="28"/>
      <c r="K4" s="28"/>
      <c r="L4" s="28"/>
      <c r="M4" s="28"/>
      <c r="N4" s="28"/>
    </row>
    <row r="5" spans="1:22" ht="15.6">
      <c r="A5" s="38" t="s">
        <v>335</v>
      </c>
      <c r="B5" s="28"/>
      <c r="C5" s="28"/>
      <c r="D5" s="28"/>
      <c r="E5" s="28"/>
      <c r="F5" s="28"/>
      <c r="G5" s="28"/>
      <c r="H5" s="28"/>
      <c r="I5" s="28"/>
      <c r="J5" s="28"/>
      <c r="K5" s="28"/>
      <c r="L5" s="28"/>
      <c r="M5" s="28"/>
      <c r="N5" s="28"/>
    </row>
    <row r="6" spans="1:22" ht="15.6">
      <c r="A6" s="38" t="s">
        <v>336</v>
      </c>
      <c r="B6" s="28"/>
      <c r="C6" s="28"/>
      <c r="D6" s="28"/>
      <c r="E6" s="28"/>
      <c r="F6" s="28"/>
      <c r="G6" s="28"/>
      <c r="H6" s="28"/>
      <c r="I6" s="28"/>
      <c r="J6" s="28"/>
      <c r="K6" s="28"/>
      <c r="L6" s="28"/>
      <c r="M6" s="28"/>
      <c r="N6" s="28"/>
    </row>
    <row r="7" spans="1:22" ht="16.2" thickBot="1">
      <c r="A7" s="196"/>
      <c r="B7" s="28"/>
      <c r="C7" s="28"/>
      <c r="D7" s="28"/>
      <c r="E7" s="28"/>
      <c r="F7" s="28"/>
      <c r="G7" s="28"/>
      <c r="H7" s="28"/>
      <c r="I7" s="28"/>
      <c r="J7" s="28"/>
      <c r="K7" s="28"/>
      <c r="L7" s="28"/>
      <c r="M7" s="28"/>
      <c r="N7" s="28"/>
    </row>
    <row r="8" spans="1:22" ht="16.2" thickBot="1">
      <c r="A8" s="32" t="s">
        <v>337</v>
      </c>
      <c r="B8" s="197">
        <v>-125</v>
      </c>
      <c r="C8" s="28"/>
      <c r="D8" s="28"/>
      <c r="E8" s="28"/>
      <c r="F8" s="28"/>
      <c r="G8" s="28"/>
      <c r="H8" s="28"/>
      <c r="I8" s="28"/>
      <c r="J8" s="28"/>
      <c r="K8" s="28"/>
      <c r="L8" s="28"/>
      <c r="M8" s="28"/>
      <c r="N8" s="28"/>
    </row>
    <row r="9" spans="1:22" ht="16.2" thickBot="1">
      <c r="A9" s="34" t="s">
        <v>338</v>
      </c>
      <c r="B9" s="179">
        <v>0.12</v>
      </c>
      <c r="C9" s="28"/>
      <c r="D9" s="28"/>
      <c r="E9" s="28"/>
      <c r="F9" s="28"/>
      <c r="G9" s="28"/>
      <c r="H9" s="28"/>
      <c r="I9" s="28"/>
      <c r="J9" s="28"/>
      <c r="K9" s="28"/>
      <c r="L9" s="28"/>
      <c r="M9" s="28"/>
      <c r="N9" s="28"/>
    </row>
    <row r="10" spans="1:22" ht="31.8" thickBot="1">
      <c r="A10" s="34" t="s">
        <v>339</v>
      </c>
      <c r="B10" s="198">
        <v>3000</v>
      </c>
      <c r="C10" s="28"/>
      <c r="D10" s="28"/>
      <c r="E10" s="28"/>
      <c r="F10" s="28"/>
      <c r="G10" s="28"/>
      <c r="H10" s="28"/>
      <c r="I10" s="28"/>
      <c r="J10" s="28"/>
      <c r="K10" s="28"/>
      <c r="L10" s="28"/>
      <c r="M10" s="28"/>
      <c r="N10" s="28"/>
    </row>
    <row r="11" spans="1:22" ht="15.6">
      <c r="A11" s="196"/>
      <c r="B11" s="28"/>
      <c r="C11" s="28"/>
      <c r="D11" s="28"/>
      <c r="E11" s="28"/>
      <c r="F11" s="28"/>
      <c r="G11" s="28"/>
      <c r="H11" s="28"/>
      <c r="I11" s="28"/>
      <c r="J11" s="28"/>
      <c r="K11" s="28"/>
      <c r="L11" s="28"/>
      <c r="M11" s="28"/>
      <c r="N11" s="28"/>
    </row>
    <row r="12" spans="1:22" ht="15.6">
      <c r="A12" s="38" t="s">
        <v>340</v>
      </c>
      <c r="B12" s="28"/>
      <c r="C12" s="28"/>
      <c r="D12" s="28"/>
      <c r="E12" s="28"/>
      <c r="F12" s="28"/>
      <c r="G12" s="28"/>
      <c r="H12" s="28"/>
      <c r="I12" s="28"/>
      <c r="J12" s="28"/>
      <c r="K12" s="28"/>
      <c r="L12" s="28"/>
      <c r="M12" s="28"/>
      <c r="N12" s="28"/>
    </row>
    <row r="13" spans="1:22" ht="16.2" thickBot="1">
      <c r="A13" s="31"/>
      <c r="B13" s="28"/>
      <c r="C13" s="28"/>
      <c r="D13" s="28"/>
      <c r="E13" s="28"/>
      <c r="F13" s="28"/>
      <c r="G13" s="28"/>
      <c r="H13" s="28"/>
      <c r="I13" s="28"/>
      <c r="J13" s="28"/>
      <c r="K13" s="28"/>
      <c r="L13" s="28"/>
      <c r="M13" s="28"/>
      <c r="N13" s="28"/>
    </row>
    <row r="14" spans="1:22" ht="16.2" thickBot="1">
      <c r="A14" s="32" t="s">
        <v>341</v>
      </c>
      <c r="B14" s="197">
        <v>0</v>
      </c>
      <c r="C14" s="197">
        <v>0.253</v>
      </c>
      <c r="D14" s="197">
        <v>0.52600000000000002</v>
      </c>
      <c r="E14" s="197">
        <v>0.84199999999999997</v>
      </c>
      <c r="F14" s="197">
        <v>1.282</v>
      </c>
      <c r="G14" s="28"/>
      <c r="H14" s="28"/>
      <c r="I14" s="28"/>
      <c r="J14" s="28"/>
      <c r="K14" s="28"/>
      <c r="L14" s="28"/>
      <c r="M14" s="28"/>
      <c r="N14" s="28"/>
    </row>
    <row r="15" spans="1:22" ht="16.2" thickBot="1">
      <c r="A15" s="34" t="s">
        <v>342</v>
      </c>
      <c r="B15" s="180">
        <v>0.5</v>
      </c>
      <c r="C15" s="180">
        <v>0.6</v>
      </c>
      <c r="D15" s="180">
        <v>0.7</v>
      </c>
      <c r="E15" s="180">
        <v>0.8</v>
      </c>
      <c r="F15" s="180">
        <v>0.9</v>
      </c>
      <c r="G15" s="28"/>
      <c r="H15" s="28"/>
      <c r="I15" s="28"/>
      <c r="J15" s="28"/>
      <c r="K15" s="28"/>
      <c r="L15" s="28"/>
      <c r="M15" s="28"/>
      <c r="N15" s="28"/>
    </row>
    <row r="16" spans="1:22" ht="15.6">
      <c r="A16" s="38"/>
      <c r="B16" s="28"/>
      <c r="C16" s="28"/>
      <c r="D16" s="28"/>
      <c r="E16" s="28"/>
      <c r="F16" s="28"/>
      <c r="G16" s="28"/>
      <c r="H16" s="28"/>
      <c r="I16" s="28"/>
      <c r="J16" s="28"/>
      <c r="K16" s="28"/>
      <c r="L16" s="28"/>
      <c r="M16" s="28"/>
      <c r="N16" s="28"/>
    </row>
    <row r="17" spans="1:14" ht="15.6">
      <c r="A17" s="38" t="s">
        <v>343</v>
      </c>
      <c r="B17" s="28"/>
      <c r="C17" s="28"/>
      <c r="D17" s="28"/>
      <c r="E17" s="28"/>
      <c r="F17" s="28"/>
      <c r="G17" s="28"/>
      <c r="H17" s="28"/>
      <c r="I17" s="28"/>
      <c r="J17" s="28"/>
      <c r="K17" s="28"/>
      <c r="L17" s="28"/>
      <c r="M17" s="28"/>
      <c r="N17" s="28"/>
    </row>
    <row r="18" spans="1:14" ht="15.6">
      <c r="A18" s="68" t="s">
        <v>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2EBE6-7CA2-44AF-B9E8-C55FA27812FC}">
  <sheetPr>
    <tabColor rgb="FFFF0000"/>
  </sheetPr>
  <dimension ref="A1:V51"/>
  <sheetViews>
    <sheetView workbookViewId="0">
      <selection activeCell="G14" sqref="G14"/>
    </sheetView>
  </sheetViews>
  <sheetFormatPr defaultColWidth="11.44140625" defaultRowHeight="13.8"/>
  <cols>
    <col min="1" max="1" width="31.44140625" style="59" customWidth="1"/>
    <col min="2" max="16384" width="11.44140625" style="59"/>
  </cols>
  <sheetData>
    <row r="1" spans="1:22" ht="17.399999999999999">
      <c r="A1" s="27" t="s">
        <v>108</v>
      </c>
      <c r="B1" s="41"/>
      <c r="C1" s="41"/>
      <c r="D1" s="41"/>
      <c r="E1" s="41"/>
      <c r="F1" s="41"/>
      <c r="G1" s="41"/>
      <c r="H1" s="41"/>
      <c r="I1" s="41"/>
      <c r="J1" s="41"/>
      <c r="K1" s="41"/>
      <c r="L1" s="41"/>
      <c r="M1" s="41"/>
      <c r="N1" s="41"/>
      <c r="O1" s="41"/>
      <c r="P1" s="41"/>
      <c r="Q1" s="41"/>
      <c r="R1" s="41"/>
      <c r="S1" s="41"/>
      <c r="T1" s="41"/>
      <c r="U1" s="41"/>
      <c r="V1" s="41"/>
    </row>
    <row r="2" spans="1:22" ht="15.6">
      <c r="A2" s="29" t="s">
        <v>109</v>
      </c>
      <c r="B2" s="41"/>
      <c r="C2" s="41"/>
      <c r="D2" s="41"/>
      <c r="E2" s="41"/>
      <c r="F2" s="41"/>
      <c r="G2" s="41"/>
      <c r="H2" s="41"/>
      <c r="I2" s="41"/>
      <c r="J2" s="41"/>
      <c r="K2" s="41"/>
      <c r="L2" s="41"/>
    </row>
    <row r="3" spans="1:22" ht="15.6">
      <c r="A3" s="29" t="s">
        <v>107</v>
      </c>
      <c r="B3" s="42"/>
      <c r="C3" s="42"/>
      <c r="D3" s="42"/>
      <c r="E3" s="42"/>
      <c r="F3" s="42"/>
      <c r="G3" s="42"/>
      <c r="H3" s="42"/>
      <c r="I3" s="42"/>
      <c r="J3" s="42"/>
      <c r="K3" s="41"/>
      <c r="L3" s="41"/>
    </row>
    <row r="4" spans="1:22" ht="15.6">
      <c r="A4" s="29"/>
      <c r="B4" s="41"/>
      <c r="C4" s="41"/>
      <c r="D4" s="41"/>
      <c r="E4" s="41"/>
      <c r="F4" s="41"/>
      <c r="G4" s="41"/>
      <c r="H4" s="41"/>
      <c r="I4" s="41"/>
      <c r="J4" s="41"/>
      <c r="K4" s="41"/>
      <c r="L4" s="41"/>
    </row>
    <row r="5" spans="1:22" ht="18.600000000000001">
      <c r="A5" s="38" t="s">
        <v>344</v>
      </c>
      <c r="B5" s="41"/>
      <c r="C5" s="41"/>
      <c r="D5" s="41"/>
      <c r="E5" s="41"/>
      <c r="F5" s="41"/>
      <c r="G5" s="41"/>
      <c r="H5" s="41"/>
      <c r="I5" s="41"/>
      <c r="J5" s="41"/>
      <c r="K5" s="41"/>
      <c r="L5" s="41"/>
    </row>
    <row r="6" spans="1:22" ht="16.2" thickBot="1">
      <c r="A6" s="38"/>
      <c r="B6" s="41"/>
      <c r="C6" s="41"/>
      <c r="D6" s="41"/>
      <c r="E6" s="41"/>
      <c r="F6" s="41"/>
      <c r="G6" s="41"/>
      <c r="H6" s="41"/>
      <c r="I6" s="41"/>
      <c r="J6" s="41"/>
      <c r="K6" s="41"/>
      <c r="L6" s="41"/>
    </row>
    <row r="7" spans="1:22" ht="16.2" thickBot="1">
      <c r="A7" s="199" t="s">
        <v>104</v>
      </c>
      <c r="B7" s="200">
        <v>1</v>
      </c>
      <c r="C7" s="200">
        <v>2</v>
      </c>
      <c r="D7" s="200">
        <v>3</v>
      </c>
      <c r="E7" s="41"/>
      <c r="F7" s="41"/>
      <c r="G7" s="41"/>
      <c r="H7" s="41"/>
      <c r="I7" s="41"/>
      <c r="J7" s="41"/>
      <c r="K7" s="41"/>
      <c r="L7" s="41"/>
    </row>
    <row r="8" spans="1:22" ht="16.2" thickBot="1">
      <c r="A8" s="201" t="s">
        <v>345</v>
      </c>
      <c r="B8" s="202">
        <v>300000</v>
      </c>
      <c r="C8" s="202">
        <v>290000</v>
      </c>
      <c r="D8" s="202">
        <v>280000</v>
      </c>
      <c r="E8" s="41"/>
      <c r="F8" s="41"/>
      <c r="G8" s="41"/>
      <c r="H8" s="41"/>
      <c r="I8" s="41"/>
      <c r="J8" s="41"/>
      <c r="K8" s="41"/>
      <c r="L8" s="41"/>
    </row>
    <row r="9" spans="1:22" ht="16.2" thickBot="1">
      <c r="A9" s="201" t="s">
        <v>346</v>
      </c>
      <c r="B9" s="202">
        <v>200000</v>
      </c>
      <c r="C9" s="202">
        <v>210000</v>
      </c>
      <c r="D9" s="202">
        <v>220000</v>
      </c>
      <c r="E9" s="41"/>
      <c r="F9" s="41"/>
      <c r="G9" s="41"/>
      <c r="H9" s="41"/>
      <c r="I9" s="41"/>
      <c r="J9" s="41"/>
      <c r="K9" s="41"/>
      <c r="L9" s="41"/>
    </row>
    <row r="10" spans="1:22" ht="16.2" thickBot="1">
      <c r="A10" s="201" t="s">
        <v>170</v>
      </c>
      <c r="B10" s="202">
        <v>260000</v>
      </c>
      <c r="C10" s="202">
        <v>170000</v>
      </c>
      <c r="D10" s="202">
        <v>90000</v>
      </c>
      <c r="E10" s="41"/>
      <c r="F10" s="41"/>
      <c r="G10" s="41"/>
      <c r="H10" s="41"/>
      <c r="I10" s="41"/>
      <c r="J10" s="41"/>
      <c r="K10" s="41"/>
      <c r="L10" s="41"/>
    </row>
    <row r="11" spans="1:22" ht="15.6">
      <c r="A11" s="38"/>
      <c r="B11" s="41"/>
      <c r="C11" s="41"/>
      <c r="D11" s="41"/>
      <c r="E11" s="41"/>
      <c r="F11" s="41"/>
      <c r="G11" s="41"/>
      <c r="H11" s="41"/>
      <c r="I11" s="41"/>
      <c r="J11" s="41"/>
      <c r="K11" s="41"/>
      <c r="L11" s="41"/>
    </row>
    <row r="12" spans="1:22" ht="15.6">
      <c r="A12" s="38" t="s">
        <v>347</v>
      </c>
      <c r="B12" s="41"/>
      <c r="C12" s="41"/>
      <c r="D12" s="41"/>
      <c r="E12" s="41"/>
      <c r="F12" s="41"/>
      <c r="G12" s="41"/>
      <c r="H12" s="41"/>
      <c r="I12" s="41"/>
      <c r="J12" s="41"/>
      <c r="K12" s="41"/>
      <c r="L12" s="41"/>
    </row>
    <row r="13" spans="1:22" ht="15.6">
      <c r="A13" s="38"/>
      <c r="B13" s="41"/>
      <c r="C13" s="41"/>
      <c r="D13" s="41"/>
      <c r="E13" s="41"/>
      <c r="F13" s="41"/>
      <c r="G13" s="41"/>
      <c r="H13" s="41"/>
      <c r="I13" s="41"/>
      <c r="J13" s="41"/>
      <c r="K13" s="41"/>
      <c r="L13" s="41"/>
    </row>
    <row r="14" spans="1:22" ht="15.6">
      <c r="A14" s="38" t="s">
        <v>348</v>
      </c>
      <c r="B14" s="41"/>
      <c r="C14" s="41"/>
      <c r="D14" s="41"/>
      <c r="E14" s="41"/>
      <c r="F14" s="41"/>
      <c r="G14" s="41"/>
      <c r="H14" s="41"/>
      <c r="I14" s="41"/>
      <c r="J14" s="41"/>
      <c r="K14" s="41"/>
      <c r="L14" s="41"/>
    </row>
    <row r="15" spans="1:22" ht="15.6">
      <c r="A15" s="68" t="s">
        <v>303</v>
      </c>
    </row>
    <row r="16" spans="1:22" ht="15.6">
      <c r="A16" s="203"/>
    </row>
    <row r="22" spans="1:12" ht="15.6">
      <c r="A22" s="38" t="s">
        <v>349</v>
      </c>
      <c r="B22" s="41"/>
      <c r="C22" s="41"/>
      <c r="D22" s="41"/>
      <c r="E22" s="41"/>
      <c r="F22" s="41"/>
      <c r="G22" s="41"/>
      <c r="H22" s="41"/>
      <c r="I22" s="41"/>
      <c r="J22" s="41"/>
      <c r="K22" s="41"/>
      <c r="L22" s="41"/>
    </row>
    <row r="23" spans="1:12" ht="15.6">
      <c r="A23" s="38" t="s">
        <v>350</v>
      </c>
      <c r="B23" s="41"/>
      <c r="C23" s="41"/>
      <c r="D23" s="41"/>
      <c r="E23" s="41"/>
      <c r="F23" s="41"/>
      <c r="G23" s="41"/>
      <c r="H23" s="41"/>
      <c r="I23" s="41"/>
      <c r="J23" s="41"/>
      <c r="K23" s="41"/>
      <c r="L23" s="41"/>
    </row>
    <row r="24" spans="1:12" ht="14.4" thickBot="1">
      <c r="A24" s="41"/>
      <c r="B24" s="41"/>
      <c r="C24" s="41"/>
      <c r="D24" s="41"/>
      <c r="E24" s="41"/>
      <c r="F24" s="41"/>
      <c r="G24" s="41"/>
      <c r="H24" s="41"/>
      <c r="I24" s="41"/>
      <c r="J24" s="41"/>
      <c r="K24" s="41"/>
      <c r="L24" s="41"/>
    </row>
    <row r="25" spans="1:12" ht="14.4" thickBot="1">
      <c r="A25" s="204" t="s">
        <v>351</v>
      </c>
      <c r="B25" s="205">
        <v>1</v>
      </c>
      <c r="C25" s="205">
        <v>2</v>
      </c>
      <c r="D25" s="205">
        <v>3</v>
      </c>
      <c r="E25" s="41"/>
      <c r="F25" s="41"/>
      <c r="G25" s="41"/>
      <c r="H25" s="41"/>
      <c r="I25" s="41"/>
      <c r="J25" s="41"/>
      <c r="K25" s="41"/>
      <c r="L25" s="41"/>
    </row>
    <row r="26" spans="1:12" ht="15" thickTop="1" thickBot="1">
      <c r="A26" s="206"/>
      <c r="B26" s="207" t="s">
        <v>352</v>
      </c>
      <c r="C26" s="207" t="s">
        <v>353</v>
      </c>
      <c r="D26" s="207" t="s">
        <v>353</v>
      </c>
      <c r="E26" s="41"/>
      <c r="F26" s="41"/>
      <c r="G26" s="41"/>
      <c r="H26" s="41"/>
      <c r="I26" s="41"/>
      <c r="J26" s="41"/>
      <c r="K26" s="41"/>
      <c r="L26" s="41"/>
    </row>
    <row r="27" spans="1:12" ht="14.4" thickBot="1">
      <c r="A27" s="208" t="s">
        <v>345</v>
      </c>
      <c r="B27" s="209">
        <v>300000</v>
      </c>
      <c r="C27" s="209">
        <v>285000</v>
      </c>
      <c r="D27" s="209">
        <v>275000</v>
      </c>
      <c r="E27" s="41"/>
      <c r="F27" s="41"/>
      <c r="G27" s="41"/>
      <c r="H27" s="41"/>
      <c r="I27" s="41"/>
      <c r="J27" s="41"/>
      <c r="K27" s="41"/>
      <c r="L27" s="41"/>
    </row>
    <row r="28" spans="1:12" ht="14.4" thickBot="1">
      <c r="A28" s="208" t="s">
        <v>346</v>
      </c>
      <c r="B28" s="209">
        <v>150000</v>
      </c>
      <c r="C28" s="209">
        <v>200000</v>
      </c>
      <c r="D28" s="209">
        <v>210000</v>
      </c>
      <c r="E28" s="41"/>
      <c r="F28" s="41"/>
      <c r="G28" s="41"/>
      <c r="H28" s="41"/>
      <c r="I28" s="41"/>
      <c r="J28" s="41"/>
      <c r="K28" s="41"/>
      <c r="L28" s="41"/>
    </row>
    <row r="29" spans="1:12" ht="14.4" thickBot="1">
      <c r="A29" s="208" t="s">
        <v>170</v>
      </c>
      <c r="B29" s="210"/>
      <c r="C29" s="209">
        <v>170000</v>
      </c>
      <c r="D29" s="209">
        <v>90000</v>
      </c>
      <c r="E29" s="41"/>
      <c r="F29" s="41"/>
      <c r="G29" s="41"/>
      <c r="H29" s="41"/>
      <c r="I29" s="41"/>
      <c r="J29" s="41"/>
      <c r="K29" s="41"/>
      <c r="L29" s="41"/>
    </row>
    <row r="30" spans="1:12">
      <c r="A30" s="211"/>
      <c r="B30" s="212"/>
      <c r="C30" s="213"/>
      <c r="D30" s="213"/>
      <c r="E30" s="41"/>
      <c r="F30" s="41"/>
      <c r="G30" s="41"/>
      <c r="H30" s="41"/>
      <c r="I30" s="41"/>
      <c r="J30" s="41"/>
      <c r="K30" s="41"/>
      <c r="L30" s="41"/>
    </row>
    <row r="31" spans="1:12" ht="15.6">
      <c r="A31" s="38" t="s">
        <v>354</v>
      </c>
      <c r="B31" s="212"/>
      <c r="C31" s="213"/>
      <c r="D31" s="213"/>
      <c r="E31" s="41"/>
      <c r="F31" s="41"/>
      <c r="G31" s="41"/>
      <c r="H31" s="41"/>
      <c r="I31" s="41"/>
      <c r="J31" s="41"/>
      <c r="K31" s="41"/>
      <c r="L31" s="41"/>
    </row>
    <row r="32" spans="1:12" ht="15.6">
      <c r="A32" s="58" t="s">
        <v>303</v>
      </c>
    </row>
    <row r="33" spans="1:12" ht="15.6">
      <c r="A33" s="58" t="s">
        <v>0</v>
      </c>
    </row>
    <row r="34" spans="1:12" ht="15.6">
      <c r="A34" s="58" t="s">
        <v>0</v>
      </c>
    </row>
    <row r="35" spans="1:12" ht="15.6">
      <c r="A35" s="58"/>
    </row>
    <row r="36" spans="1:12" ht="15.6">
      <c r="A36" s="58"/>
    </row>
    <row r="37" spans="1:12" ht="15.6">
      <c r="A37" s="58"/>
    </row>
    <row r="38" spans="1:12" ht="18.45" customHeight="1">
      <c r="A38" s="58"/>
    </row>
    <row r="39" spans="1:12" ht="15.6">
      <c r="A39" s="58"/>
      <c r="B39" s="28"/>
      <c r="C39" s="41"/>
      <c r="D39" s="41"/>
      <c r="E39" s="41"/>
      <c r="F39" s="41"/>
      <c r="G39" s="41"/>
      <c r="H39" s="41"/>
      <c r="I39" s="41"/>
      <c r="J39" s="41"/>
      <c r="K39" s="41"/>
      <c r="L39" s="41"/>
    </row>
    <row r="40" spans="1:12" ht="15.6">
      <c r="A40" s="214" t="s">
        <v>355</v>
      </c>
      <c r="B40" s="28"/>
      <c r="C40" s="41"/>
      <c r="D40" s="41"/>
      <c r="E40" s="41"/>
      <c r="F40" s="41"/>
      <c r="G40" s="41"/>
      <c r="H40" s="41"/>
      <c r="I40" s="41"/>
      <c r="J40" s="41"/>
      <c r="K40" s="41"/>
      <c r="L40" s="41"/>
    </row>
    <row r="41" spans="1:12" ht="15.6">
      <c r="A41" s="214" t="s">
        <v>356</v>
      </c>
      <c r="B41" s="28"/>
      <c r="C41" s="41"/>
      <c r="D41" s="41"/>
      <c r="E41" s="41"/>
      <c r="F41" s="41"/>
      <c r="G41" s="41"/>
      <c r="H41" s="41"/>
      <c r="I41" s="41"/>
      <c r="J41" s="41"/>
      <c r="K41" s="41"/>
      <c r="L41" s="41"/>
    </row>
    <row r="42" spans="1:12" ht="16.2" thickBot="1">
      <c r="A42" s="214"/>
      <c r="B42" s="28"/>
      <c r="C42" s="41"/>
      <c r="D42" s="41"/>
      <c r="E42" s="41"/>
      <c r="F42" s="41"/>
      <c r="G42" s="41"/>
      <c r="H42" s="41"/>
      <c r="I42" s="41"/>
      <c r="J42" s="41"/>
      <c r="K42" s="41"/>
      <c r="L42" s="41"/>
    </row>
    <row r="43" spans="1:12" ht="16.2" thickBot="1">
      <c r="A43" s="63" t="s">
        <v>357</v>
      </c>
      <c r="B43" s="63" t="s">
        <v>3</v>
      </c>
      <c r="C43" s="41"/>
      <c r="D43" s="41"/>
      <c r="E43" s="41"/>
      <c r="F43" s="41"/>
      <c r="G43" s="41"/>
      <c r="H43" s="41"/>
      <c r="I43" s="41"/>
      <c r="J43" s="41"/>
      <c r="K43" s="41"/>
      <c r="L43" s="41"/>
    </row>
    <row r="44" spans="1:12" ht="16.2" thickBot="1">
      <c r="A44" s="215" t="s">
        <v>358</v>
      </c>
      <c r="B44" s="216"/>
      <c r="C44" s="41"/>
      <c r="D44" s="41"/>
      <c r="E44" s="41"/>
      <c r="F44" s="41"/>
      <c r="G44" s="41"/>
      <c r="H44" s="41"/>
      <c r="I44" s="41"/>
      <c r="J44" s="41"/>
      <c r="K44" s="41"/>
      <c r="L44" s="41"/>
    </row>
    <row r="45" spans="1:12" ht="16.2" thickBot="1">
      <c r="A45" s="215" t="s">
        <v>359</v>
      </c>
      <c r="B45" s="216"/>
      <c r="C45" s="41"/>
      <c r="D45" s="41"/>
      <c r="E45" s="41"/>
      <c r="F45" s="41"/>
      <c r="G45" s="41"/>
      <c r="H45" s="41"/>
      <c r="I45" s="41"/>
      <c r="J45" s="41"/>
      <c r="K45" s="41"/>
      <c r="L45" s="41"/>
    </row>
    <row r="46" spans="1:12" ht="16.2" thickBot="1">
      <c r="A46" s="215" t="s">
        <v>360</v>
      </c>
      <c r="B46" s="216"/>
      <c r="C46" s="41"/>
      <c r="D46" s="41"/>
      <c r="E46" s="41"/>
      <c r="F46" s="41"/>
      <c r="G46" s="41"/>
      <c r="H46" s="41"/>
      <c r="I46" s="41"/>
      <c r="J46" s="41"/>
      <c r="K46" s="41"/>
      <c r="L46" s="41"/>
    </row>
    <row r="47" spans="1:12" ht="16.2" thickBot="1">
      <c r="A47" s="215"/>
      <c r="B47" s="216"/>
      <c r="C47" s="41"/>
      <c r="D47" s="41"/>
      <c r="E47" s="41"/>
      <c r="F47" s="41"/>
      <c r="G47" s="41"/>
      <c r="H47" s="41"/>
      <c r="I47" s="41"/>
      <c r="J47" s="41"/>
      <c r="K47" s="41"/>
      <c r="L47" s="41"/>
    </row>
    <row r="48" spans="1:12" ht="16.2" thickBot="1">
      <c r="A48" s="215" t="s">
        <v>361</v>
      </c>
      <c r="B48" s="216"/>
      <c r="C48" s="41"/>
      <c r="D48" s="41"/>
      <c r="E48" s="41"/>
      <c r="F48" s="41"/>
      <c r="G48" s="41"/>
      <c r="H48" s="41"/>
      <c r="I48" s="41"/>
      <c r="J48" s="41"/>
      <c r="K48" s="41"/>
      <c r="L48" s="41"/>
    </row>
    <row r="49" spans="1:12" ht="16.2" thickBot="1">
      <c r="A49" s="215"/>
      <c r="B49" s="216"/>
      <c r="C49" s="41"/>
      <c r="D49" s="41"/>
      <c r="E49" s="41"/>
      <c r="F49" s="41"/>
      <c r="G49" s="41"/>
      <c r="H49" s="41"/>
      <c r="I49" s="41"/>
      <c r="J49" s="41"/>
      <c r="K49" s="41"/>
      <c r="L49" s="41"/>
    </row>
    <row r="50" spans="1:12" ht="16.2" thickBot="1">
      <c r="A50" s="215" t="s">
        <v>362</v>
      </c>
      <c r="B50" s="216"/>
      <c r="C50" s="41"/>
      <c r="D50" s="41"/>
      <c r="E50" s="41"/>
      <c r="F50" s="41"/>
      <c r="G50" s="41"/>
      <c r="H50" s="41"/>
      <c r="I50" s="41"/>
      <c r="J50" s="41"/>
      <c r="K50" s="41"/>
      <c r="L50" s="41"/>
    </row>
    <row r="51" spans="1:12" ht="15.6">
      <c r="A51" s="58" t="s">
        <v>303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CEA93-D4E0-47B8-BF66-6DFD83AD4159}">
  <sheetPr>
    <tabColor rgb="FFFF0000"/>
  </sheetPr>
  <dimension ref="A1:W11"/>
  <sheetViews>
    <sheetView workbookViewId="0">
      <selection activeCell="J14" sqref="J14"/>
    </sheetView>
  </sheetViews>
  <sheetFormatPr defaultColWidth="11.44140625" defaultRowHeight="14.4"/>
  <cols>
    <col min="1" max="1" width="14.6640625" style="40" customWidth="1"/>
    <col min="2" max="4" width="11.44140625" style="40"/>
    <col min="5" max="5" width="13.5546875" style="40" customWidth="1"/>
    <col min="6" max="16384" width="11.44140625" style="40"/>
  </cols>
  <sheetData>
    <row r="1" spans="1:23" s="59" customFormat="1" ht="17.399999999999999">
      <c r="A1" s="27" t="s">
        <v>363</v>
      </c>
      <c r="B1" s="41"/>
      <c r="C1" s="41"/>
      <c r="D1" s="41"/>
      <c r="E1" s="41"/>
      <c r="F1" s="41"/>
      <c r="G1" s="41"/>
      <c r="H1" s="41"/>
      <c r="I1" s="41"/>
      <c r="J1" s="41"/>
      <c r="K1" s="41"/>
      <c r="L1" s="41"/>
      <c r="M1" s="40"/>
      <c r="N1" s="40"/>
      <c r="O1" s="40"/>
      <c r="P1" s="40"/>
      <c r="Q1" s="40"/>
      <c r="R1" s="40"/>
      <c r="S1" s="40"/>
      <c r="T1" s="40"/>
      <c r="U1" s="40"/>
      <c r="V1" s="40"/>
      <c r="W1" s="40"/>
    </row>
    <row r="2" spans="1:23" s="59" customFormat="1" ht="15.6">
      <c r="A2" s="29" t="s">
        <v>364</v>
      </c>
      <c r="B2" s="41"/>
      <c r="C2" s="41"/>
      <c r="D2" s="41"/>
      <c r="E2" s="41"/>
      <c r="F2" s="41"/>
      <c r="G2" s="41"/>
      <c r="H2" s="41"/>
      <c r="I2" s="41"/>
      <c r="J2" s="41"/>
      <c r="K2" s="41"/>
      <c r="L2" s="41"/>
    </row>
    <row r="3" spans="1:23" s="59" customFormat="1" ht="15.6">
      <c r="A3" s="29" t="s">
        <v>365</v>
      </c>
      <c r="B3" s="42"/>
      <c r="C3" s="42"/>
      <c r="D3" s="42"/>
      <c r="E3" s="42"/>
      <c r="F3" s="42"/>
      <c r="G3" s="42"/>
      <c r="H3" s="42"/>
      <c r="I3" s="42"/>
      <c r="J3" s="42"/>
      <c r="K3" s="41"/>
      <c r="L3" s="41"/>
    </row>
    <row r="4" spans="1:23" s="59" customFormat="1" ht="15.6">
      <c r="A4" s="29"/>
      <c r="B4" s="41"/>
      <c r="C4" s="41"/>
      <c r="D4" s="41"/>
      <c r="E4" s="41"/>
      <c r="F4" s="41"/>
      <c r="G4" s="41"/>
      <c r="H4" s="41"/>
      <c r="I4" s="41"/>
      <c r="J4" s="41"/>
      <c r="K4" s="41"/>
      <c r="L4" s="41"/>
    </row>
    <row r="5" spans="1:23" ht="16.2" thickBot="1">
      <c r="A5" s="38" t="s">
        <v>366</v>
      </c>
      <c r="B5" s="28"/>
      <c r="C5" s="28"/>
      <c r="D5" s="28"/>
      <c r="E5" s="28"/>
      <c r="F5" s="28"/>
      <c r="G5" s="28"/>
      <c r="H5" s="28"/>
      <c r="I5" s="28"/>
      <c r="J5" s="28"/>
      <c r="K5" s="28"/>
      <c r="L5" s="28"/>
    </row>
    <row r="6" spans="1:23" ht="63" thickBot="1">
      <c r="A6" s="217"/>
      <c r="B6" s="218" t="s">
        <v>70</v>
      </c>
      <c r="C6" s="218" t="s">
        <v>367</v>
      </c>
      <c r="D6" s="218" t="s">
        <v>368</v>
      </c>
      <c r="E6" s="218" t="s">
        <v>369</v>
      </c>
      <c r="F6" s="218" t="s">
        <v>370</v>
      </c>
      <c r="G6" s="28"/>
      <c r="H6" s="28"/>
      <c r="I6" s="28"/>
      <c r="J6" s="28"/>
      <c r="K6" s="28"/>
      <c r="L6" s="28"/>
    </row>
    <row r="7" spans="1:23" ht="16.2" thickBot="1">
      <c r="A7" s="215">
        <v>2016</v>
      </c>
      <c r="B7" s="216">
        <v>500</v>
      </c>
      <c r="C7" s="219">
        <v>50</v>
      </c>
      <c r="D7" s="219">
        <v>40</v>
      </c>
      <c r="E7" s="220">
        <v>0.02</v>
      </c>
      <c r="F7" s="221">
        <v>35</v>
      </c>
      <c r="G7" s="28"/>
      <c r="H7" s="28"/>
      <c r="I7" s="28"/>
      <c r="J7" s="28"/>
      <c r="K7" s="28"/>
      <c r="L7" s="28"/>
    </row>
    <row r="8" spans="1:23" ht="16.2" thickBot="1">
      <c r="A8" s="215">
        <v>2017</v>
      </c>
      <c r="B8" s="216">
        <v>300</v>
      </c>
      <c r="C8" s="219">
        <v>80</v>
      </c>
      <c r="D8" s="219">
        <v>40</v>
      </c>
      <c r="E8" s="220">
        <v>0.01</v>
      </c>
      <c r="F8" s="221">
        <v>40</v>
      </c>
      <c r="G8" s="28"/>
      <c r="H8" s="28"/>
      <c r="I8" s="28"/>
      <c r="J8" s="28"/>
      <c r="K8" s="28"/>
      <c r="L8" s="28"/>
    </row>
    <row r="9" spans="1:23" ht="15.6">
      <c r="A9" s="38"/>
      <c r="B9" s="28"/>
      <c r="C9" s="28"/>
      <c r="D9" s="28"/>
      <c r="E9" s="28"/>
      <c r="F9" s="28"/>
      <c r="G9" s="28"/>
      <c r="H9" s="28"/>
      <c r="I9" s="28"/>
      <c r="J9" s="28"/>
      <c r="K9" s="28"/>
      <c r="L9" s="28"/>
    </row>
    <row r="10" spans="1:23" ht="15.6">
      <c r="A10" s="53" t="s">
        <v>371</v>
      </c>
      <c r="B10" s="28"/>
      <c r="C10" s="28"/>
      <c r="D10" s="28"/>
      <c r="E10" s="28"/>
      <c r="F10" s="28"/>
      <c r="G10" s="28"/>
      <c r="H10" s="28"/>
      <c r="I10" s="28"/>
      <c r="J10" s="28"/>
      <c r="K10" s="28"/>
      <c r="L10" s="28"/>
    </row>
    <row r="11" spans="1:23" ht="15.6">
      <c r="A11" s="58" t="s">
        <v>303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BDDF-074D-455C-BAAC-B4765475A920}">
  <sheetPr>
    <tabColor rgb="FFFF0000"/>
  </sheetPr>
  <dimension ref="A1:W33"/>
  <sheetViews>
    <sheetView workbookViewId="0">
      <selection activeCell="J13" sqref="J13"/>
    </sheetView>
  </sheetViews>
  <sheetFormatPr defaultColWidth="11.44140625" defaultRowHeight="14.4"/>
  <cols>
    <col min="1" max="1" width="17.88671875" style="40" customWidth="1"/>
    <col min="2" max="2" width="11.44140625" style="40"/>
    <col min="3" max="3" width="18.88671875" style="40" customWidth="1"/>
    <col min="4" max="4" width="11.44140625" style="40"/>
    <col min="5" max="5" width="22.44140625" style="40" customWidth="1"/>
    <col min="6" max="16384" width="11.44140625" style="40"/>
  </cols>
  <sheetData>
    <row r="1" spans="1:23" s="59" customFormat="1" ht="17.399999999999999">
      <c r="A1" s="27" t="s">
        <v>372</v>
      </c>
      <c r="B1" s="41"/>
      <c r="C1" s="41"/>
      <c r="D1" s="41"/>
      <c r="E1" s="41"/>
      <c r="F1" s="41"/>
      <c r="G1" s="41"/>
      <c r="H1" s="41"/>
      <c r="I1" s="41"/>
      <c r="J1" s="41"/>
      <c r="K1" s="41"/>
      <c r="L1" s="41"/>
      <c r="M1" s="40"/>
      <c r="N1" s="40"/>
      <c r="O1" s="40"/>
      <c r="P1" s="40"/>
      <c r="Q1" s="40"/>
      <c r="R1" s="40"/>
      <c r="S1" s="40"/>
      <c r="T1" s="40"/>
      <c r="U1" s="40"/>
      <c r="V1" s="40"/>
      <c r="W1" s="40"/>
    </row>
    <row r="2" spans="1:23" s="59" customFormat="1" ht="15.6">
      <c r="A2" s="29" t="s">
        <v>109</v>
      </c>
      <c r="B2" s="41"/>
      <c r="C2" s="41"/>
      <c r="D2" s="41"/>
      <c r="E2" s="41"/>
      <c r="F2" s="41"/>
      <c r="G2" s="41"/>
      <c r="H2" s="41"/>
      <c r="I2" s="41"/>
      <c r="J2" s="41"/>
      <c r="K2" s="41"/>
      <c r="L2" s="41"/>
    </row>
    <row r="3" spans="1:23" s="59" customFormat="1" ht="15.6">
      <c r="A3" s="29" t="s">
        <v>373</v>
      </c>
      <c r="B3" s="42"/>
      <c r="C3" s="42"/>
      <c r="D3" s="42"/>
      <c r="E3" s="42"/>
      <c r="F3" s="42"/>
      <c r="G3" s="42"/>
      <c r="H3" s="42"/>
      <c r="I3" s="42"/>
      <c r="J3" s="42"/>
      <c r="K3" s="41"/>
      <c r="L3" s="41"/>
    </row>
    <row r="4" spans="1:23" s="59" customFormat="1" ht="15.6">
      <c r="A4" s="29"/>
      <c r="B4" s="41"/>
      <c r="C4" s="41"/>
      <c r="D4" s="41"/>
      <c r="E4" s="41"/>
      <c r="F4" s="41"/>
      <c r="G4" s="41"/>
      <c r="H4" s="41"/>
      <c r="I4" s="41"/>
      <c r="J4" s="41"/>
      <c r="K4" s="41"/>
      <c r="L4" s="41"/>
    </row>
    <row r="5" spans="1:23" s="59" customFormat="1" ht="15.6">
      <c r="A5" s="38" t="s">
        <v>374</v>
      </c>
      <c r="B5" s="28"/>
      <c r="C5" s="28"/>
      <c r="D5" s="28"/>
      <c r="E5" s="28"/>
      <c r="F5" s="41"/>
      <c r="G5" s="41"/>
      <c r="H5" s="41"/>
      <c r="I5" s="41"/>
      <c r="J5" s="41"/>
      <c r="K5" s="41"/>
      <c r="L5" s="41"/>
    </row>
    <row r="6" spans="1:23" s="59" customFormat="1" ht="15.6">
      <c r="A6" s="38"/>
      <c r="B6" s="28"/>
      <c r="C6" s="28"/>
      <c r="D6" s="28"/>
      <c r="E6" s="28"/>
      <c r="F6" s="41"/>
      <c r="G6" s="41"/>
      <c r="H6" s="41"/>
      <c r="I6" s="41"/>
      <c r="J6" s="41"/>
      <c r="K6" s="41"/>
      <c r="L6" s="41"/>
    </row>
    <row r="7" spans="1:23" s="59" customFormat="1" ht="15.6">
      <c r="A7" s="191" t="s">
        <v>375</v>
      </c>
      <c r="B7" s="28"/>
      <c r="C7" s="28"/>
      <c r="D7" s="28"/>
      <c r="E7" s="28"/>
      <c r="F7" s="41"/>
      <c r="G7" s="41"/>
      <c r="H7" s="41"/>
      <c r="I7" s="41"/>
      <c r="J7" s="41"/>
      <c r="K7" s="41"/>
      <c r="L7" s="41"/>
    </row>
    <row r="8" spans="1:23" s="59" customFormat="1" ht="15.6">
      <c r="A8" s="191" t="s">
        <v>376</v>
      </c>
      <c r="B8" s="28"/>
      <c r="C8" s="28"/>
      <c r="D8" s="28"/>
      <c r="E8" s="28"/>
      <c r="F8" s="41"/>
      <c r="G8" s="41"/>
      <c r="H8" s="41"/>
      <c r="I8" s="41"/>
      <c r="J8" s="41"/>
      <c r="K8" s="41"/>
      <c r="L8" s="41"/>
    </row>
    <row r="9" spans="1:23" s="59" customFormat="1" ht="15.6">
      <c r="A9" s="191" t="s">
        <v>377</v>
      </c>
      <c r="B9" s="28"/>
      <c r="C9" s="28"/>
      <c r="D9" s="28"/>
      <c r="E9" s="28"/>
      <c r="F9" s="41"/>
      <c r="G9" s="41"/>
      <c r="H9" s="41"/>
      <c r="I9" s="41"/>
      <c r="J9" s="41"/>
      <c r="K9" s="41"/>
      <c r="L9" s="41"/>
    </row>
    <row r="10" spans="1:23" s="59" customFormat="1" ht="15.6">
      <c r="A10" s="191" t="s">
        <v>378</v>
      </c>
      <c r="B10" s="28"/>
      <c r="C10" s="28"/>
      <c r="D10" s="28"/>
      <c r="E10" s="28"/>
      <c r="F10" s="41"/>
      <c r="G10" s="41"/>
      <c r="H10" s="41"/>
      <c r="I10" s="41"/>
      <c r="J10" s="41"/>
      <c r="K10" s="41"/>
      <c r="L10" s="41"/>
    </row>
    <row r="11" spans="1:23" s="59" customFormat="1" ht="15.6">
      <c r="A11" s="222" t="s">
        <v>379</v>
      </c>
      <c r="B11" s="28"/>
      <c r="C11" s="28"/>
      <c r="D11" s="28"/>
      <c r="E11" s="28"/>
      <c r="F11" s="41"/>
      <c r="G11" s="41"/>
      <c r="H11" s="41"/>
      <c r="I11" s="41"/>
      <c r="J11" s="41"/>
      <c r="K11" s="41"/>
      <c r="L11" s="41"/>
    </row>
    <row r="12" spans="1:23" s="59" customFormat="1" ht="15.6">
      <c r="A12" s="222" t="s">
        <v>380</v>
      </c>
      <c r="B12" s="28"/>
      <c r="C12" s="28"/>
      <c r="D12" s="28"/>
      <c r="E12" s="28"/>
      <c r="F12" s="41"/>
      <c r="G12" s="41"/>
      <c r="H12" s="41"/>
      <c r="I12" s="41"/>
      <c r="J12" s="41"/>
      <c r="K12" s="41"/>
      <c r="L12" s="41"/>
    </row>
    <row r="13" spans="1:23" s="59" customFormat="1" ht="15.6">
      <c r="A13" s="38"/>
      <c r="B13" s="28"/>
      <c r="C13" s="28"/>
      <c r="D13" s="28"/>
      <c r="E13" s="28"/>
      <c r="F13" s="41"/>
      <c r="G13" s="41"/>
      <c r="H13" s="41"/>
      <c r="I13" s="41"/>
      <c r="J13" s="41"/>
      <c r="K13" s="41"/>
      <c r="L13" s="41"/>
    </row>
    <row r="14" spans="1:23" s="59" customFormat="1" ht="15.6">
      <c r="A14" s="38" t="s">
        <v>381</v>
      </c>
      <c r="B14" s="28"/>
      <c r="C14" s="28"/>
      <c r="D14" s="28"/>
      <c r="E14" s="28"/>
      <c r="F14" s="41"/>
      <c r="G14" s="41"/>
      <c r="H14" s="41"/>
      <c r="I14" s="41"/>
      <c r="J14" s="41"/>
      <c r="K14" s="41"/>
      <c r="L14" s="41"/>
    </row>
    <row r="15" spans="1:23" ht="16.2" thickBot="1">
      <c r="A15" s="38"/>
      <c r="B15" s="28"/>
      <c r="C15" s="28"/>
      <c r="D15" s="28"/>
      <c r="E15" s="28"/>
      <c r="F15" s="28"/>
      <c r="G15" s="28"/>
      <c r="H15" s="28"/>
      <c r="I15" s="28"/>
      <c r="J15" s="28"/>
      <c r="K15" s="28"/>
      <c r="L15" s="28"/>
    </row>
    <row r="16" spans="1:23" ht="16.2" thickBot="1">
      <c r="A16" s="223"/>
      <c r="B16" s="755" t="s">
        <v>382</v>
      </c>
      <c r="C16" s="756"/>
      <c r="D16" s="755" t="s">
        <v>383</v>
      </c>
      <c r="E16" s="756"/>
      <c r="F16" s="28"/>
      <c r="G16" s="28"/>
      <c r="H16" s="28"/>
      <c r="I16" s="28"/>
      <c r="J16" s="28"/>
      <c r="K16" s="28"/>
      <c r="L16" s="28"/>
    </row>
    <row r="17" spans="1:12" ht="16.2" thickBot="1">
      <c r="A17" s="62" t="s">
        <v>384</v>
      </c>
      <c r="B17" s="225" t="s">
        <v>68</v>
      </c>
      <c r="C17" s="225" t="s">
        <v>46</v>
      </c>
      <c r="D17" s="225" t="s">
        <v>68</v>
      </c>
      <c r="E17" s="225" t="s">
        <v>46</v>
      </c>
      <c r="F17" s="28"/>
      <c r="G17" s="28"/>
      <c r="H17" s="28"/>
      <c r="I17" s="28"/>
      <c r="J17" s="28"/>
      <c r="K17" s="28"/>
      <c r="L17" s="28"/>
    </row>
    <row r="18" spans="1:12" ht="16.2" thickBot="1">
      <c r="A18" s="62" t="s">
        <v>385</v>
      </c>
      <c r="B18" s="226">
        <v>432.44</v>
      </c>
      <c r="C18" s="226">
        <v>661.57</v>
      </c>
      <c r="D18" s="226">
        <v>428.13</v>
      </c>
      <c r="E18" s="226">
        <v>655.55</v>
      </c>
      <c r="F18" s="28"/>
      <c r="G18" s="28"/>
      <c r="H18" s="28"/>
      <c r="I18" s="28"/>
      <c r="J18" s="28"/>
      <c r="K18" s="28"/>
      <c r="L18" s="28"/>
    </row>
    <row r="19" spans="1:12" ht="16.2" thickBot="1">
      <c r="A19" s="62" t="s">
        <v>386</v>
      </c>
      <c r="B19" s="226">
        <v>343.92</v>
      </c>
      <c r="C19" s="226">
        <v>488.59</v>
      </c>
      <c r="D19" s="226">
        <v>341.38</v>
      </c>
      <c r="E19" s="226">
        <v>485.2</v>
      </c>
      <c r="F19" s="28"/>
      <c r="G19" s="28"/>
      <c r="H19" s="28"/>
      <c r="I19" s="28"/>
      <c r="J19" s="28"/>
      <c r="K19" s="28"/>
      <c r="L19" s="28"/>
    </row>
    <row r="20" spans="1:12" ht="16.2" thickBot="1">
      <c r="A20" s="62" t="s">
        <v>387</v>
      </c>
      <c r="B20" s="226">
        <v>242.6</v>
      </c>
      <c r="C20" s="226">
        <v>320.57</v>
      </c>
      <c r="D20" s="226">
        <v>241.42</v>
      </c>
      <c r="E20" s="226">
        <v>319.05</v>
      </c>
      <c r="F20" s="28"/>
      <c r="G20" s="28"/>
      <c r="H20" s="28"/>
      <c r="I20" s="28"/>
      <c r="J20" s="28"/>
      <c r="K20" s="28"/>
      <c r="L20" s="28"/>
    </row>
    <row r="21" spans="1:12" ht="15.6">
      <c r="A21" s="38"/>
      <c r="B21" s="28"/>
      <c r="C21" s="28"/>
      <c r="D21" s="28"/>
      <c r="E21" s="28"/>
      <c r="F21" s="28"/>
      <c r="G21" s="28"/>
      <c r="H21" s="28"/>
      <c r="I21" s="28"/>
      <c r="J21" s="28"/>
      <c r="K21" s="28"/>
      <c r="L21" s="28"/>
    </row>
    <row r="22" spans="1:12" ht="15.6">
      <c r="A22" s="38" t="s">
        <v>388</v>
      </c>
      <c r="B22" s="28"/>
      <c r="C22" s="28"/>
      <c r="D22" s="28"/>
      <c r="E22" s="28"/>
      <c r="F22" s="28"/>
      <c r="G22" s="28"/>
      <c r="H22" s="28"/>
      <c r="I22" s="28"/>
      <c r="J22" s="28"/>
      <c r="K22" s="28"/>
      <c r="L22" s="28"/>
    </row>
    <row r="23" spans="1:12" ht="15.6">
      <c r="A23" s="38" t="s">
        <v>389</v>
      </c>
      <c r="B23" s="28"/>
      <c r="C23" s="28"/>
      <c r="D23" s="28"/>
      <c r="E23" s="28"/>
      <c r="F23" s="28"/>
      <c r="G23" s="28"/>
      <c r="H23" s="28"/>
      <c r="I23" s="28"/>
      <c r="J23" s="28"/>
      <c r="K23" s="28"/>
      <c r="L23" s="28"/>
    </row>
    <row r="24" spans="1:12" ht="16.2" thickBot="1">
      <c r="A24" s="38"/>
      <c r="B24" s="28"/>
      <c r="C24" s="28"/>
      <c r="D24" s="28"/>
      <c r="E24" s="28"/>
      <c r="F24" s="28"/>
      <c r="G24" s="28"/>
      <c r="H24" s="28"/>
      <c r="I24" s="28"/>
      <c r="J24" s="28"/>
      <c r="K24" s="28"/>
      <c r="L24" s="28"/>
    </row>
    <row r="25" spans="1:12" ht="16.2" thickBot="1">
      <c r="A25" s="227"/>
      <c r="B25" s="755" t="s">
        <v>382</v>
      </c>
      <c r="C25" s="756"/>
      <c r="D25" s="755" t="s">
        <v>383</v>
      </c>
      <c r="E25" s="756"/>
      <c r="F25" s="28"/>
      <c r="G25" s="28"/>
      <c r="H25" s="28"/>
      <c r="I25" s="28"/>
      <c r="J25" s="28"/>
      <c r="K25" s="28"/>
      <c r="L25" s="28"/>
    </row>
    <row r="26" spans="1:12" ht="16.2" thickBot="1">
      <c r="A26" s="63" t="s">
        <v>384</v>
      </c>
      <c r="B26" s="225" t="s">
        <v>68</v>
      </c>
      <c r="C26" s="224" t="s">
        <v>46</v>
      </c>
      <c r="D26" s="225" t="s">
        <v>68</v>
      </c>
      <c r="E26" s="225" t="s">
        <v>46</v>
      </c>
      <c r="F26" s="28"/>
      <c r="G26" s="28"/>
      <c r="H26" s="28"/>
      <c r="I26" s="28"/>
      <c r="J26" s="28"/>
      <c r="K26" s="28"/>
      <c r="L26" s="28"/>
    </row>
    <row r="27" spans="1:12" ht="16.2" thickBot="1">
      <c r="A27" s="62" t="s">
        <v>385</v>
      </c>
      <c r="B27" s="216">
        <v>493.11</v>
      </c>
      <c r="C27" s="216">
        <v>638.20000000000005</v>
      </c>
      <c r="D27" s="216">
        <v>488.13</v>
      </c>
      <c r="E27" s="216">
        <v>632.42999999999995</v>
      </c>
      <c r="F27" s="28"/>
      <c r="G27" s="28"/>
      <c r="H27" s="28"/>
      <c r="I27" s="28"/>
      <c r="J27" s="28"/>
      <c r="K27" s="28"/>
      <c r="L27" s="28"/>
    </row>
    <row r="28" spans="1:12" ht="16.2" thickBot="1">
      <c r="A28" s="62" t="s">
        <v>386</v>
      </c>
      <c r="B28" s="216">
        <v>396.27</v>
      </c>
      <c r="C28" s="216">
        <v>469.59</v>
      </c>
      <c r="D28" s="216">
        <v>393.31</v>
      </c>
      <c r="E28" s="216">
        <v>466.36</v>
      </c>
      <c r="F28" s="28"/>
      <c r="G28" s="28"/>
      <c r="H28" s="28"/>
      <c r="I28" s="28"/>
      <c r="J28" s="28"/>
      <c r="K28" s="28"/>
      <c r="L28" s="28"/>
    </row>
    <row r="29" spans="1:12" ht="16.2" thickBot="1">
      <c r="A29" s="62" t="s">
        <v>387</v>
      </c>
      <c r="B29" s="216">
        <v>281.3</v>
      </c>
      <c r="C29" s="216">
        <v>306.07</v>
      </c>
      <c r="D29" s="216">
        <v>279.89999999999998</v>
      </c>
      <c r="E29" s="216">
        <v>304.64</v>
      </c>
      <c r="F29" s="28"/>
      <c r="G29" s="28"/>
      <c r="H29" s="28"/>
      <c r="I29" s="28"/>
      <c r="J29" s="28"/>
      <c r="K29" s="28"/>
      <c r="L29" s="28"/>
    </row>
    <row r="30" spans="1:12" ht="15.6">
      <c r="A30" s="38"/>
      <c r="B30" s="28"/>
      <c r="C30" s="28"/>
      <c r="D30" s="28"/>
      <c r="E30" s="28"/>
      <c r="F30" s="28"/>
      <c r="G30" s="28"/>
      <c r="H30" s="28"/>
      <c r="I30" s="28"/>
      <c r="J30" s="28"/>
      <c r="K30" s="28"/>
      <c r="L30" s="28"/>
    </row>
    <row r="31" spans="1:12" ht="15.6">
      <c r="A31" s="38" t="s">
        <v>390</v>
      </c>
      <c r="B31" s="28"/>
      <c r="C31" s="28"/>
      <c r="D31" s="28"/>
      <c r="E31" s="28"/>
      <c r="F31" s="28"/>
      <c r="G31" s="28"/>
      <c r="H31" s="28"/>
      <c r="I31" s="28"/>
      <c r="J31" s="28"/>
      <c r="K31" s="28"/>
      <c r="L31" s="28"/>
    </row>
    <row r="32" spans="1:12" ht="16.2" thickBot="1">
      <c r="A32" s="68" t="s">
        <v>303</v>
      </c>
    </row>
    <row r="33" spans="1:1" ht="16.2" thickBot="1">
      <c r="A33" s="228"/>
    </row>
  </sheetData>
  <mergeCells count="4">
    <mergeCell ref="B16:C16"/>
    <mergeCell ref="D16:E16"/>
    <mergeCell ref="B25:C25"/>
    <mergeCell ref="D25:E2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E3E1-4FD9-411C-B3AD-3647DA7941EF}">
  <sheetPr>
    <tabColor theme="6" tint="0.79998168889431442"/>
  </sheetPr>
  <dimension ref="A1:N40"/>
  <sheetViews>
    <sheetView topLeftCell="A6" workbookViewId="0">
      <selection activeCell="L12" sqref="L12"/>
    </sheetView>
  </sheetViews>
  <sheetFormatPr defaultColWidth="9.109375" defaultRowHeight="14.4"/>
  <cols>
    <col min="1" max="1" width="51.5546875" style="231" customWidth="1"/>
    <col min="2" max="4" width="14.33203125" style="231" customWidth="1"/>
    <col min="5" max="16384" width="9.109375" style="231"/>
  </cols>
  <sheetData>
    <row r="1" spans="1:14" ht="17.399999999999999">
      <c r="A1" s="229" t="s">
        <v>74</v>
      </c>
      <c r="B1" s="230"/>
      <c r="C1" s="230"/>
      <c r="D1" s="230"/>
      <c r="E1" s="230"/>
      <c r="F1" s="230"/>
      <c r="G1" s="230"/>
      <c r="H1" s="230"/>
      <c r="I1" s="230"/>
      <c r="J1" s="230"/>
      <c r="K1" s="230"/>
      <c r="L1" s="230"/>
      <c r="M1" s="230"/>
      <c r="N1" s="230"/>
    </row>
    <row r="2" spans="1:14" ht="15.6">
      <c r="A2" s="232" t="s">
        <v>71</v>
      </c>
      <c r="B2" s="230"/>
      <c r="C2" s="230"/>
      <c r="D2" s="230"/>
      <c r="E2" s="230"/>
      <c r="F2" s="230"/>
      <c r="G2" s="230"/>
      <c r="H2" s="230"/>
      <c r="I2" s="230"/>
      <c r="J2" s="230"/>
      <c r="K2" s="230"/>
      <c r="L2" s="230"/>
      <c r="M2" s="230"/>
      <c r="N2" s="230"/>
    </row>
    <row r="3" spans="1:14" ht="15.6">
      <c r="A3" s="232" t="s">
        <v>72</v>
      </c>
      <c r="B3" s="233"/>
      <c r="C3" s="233"/>
      <c r="D3" s="233"/>
      <c r="E3" s="233"/>
      <c r="F3" s="233"/>
      <c r="G3" s="233"/>
      <c r="H3" s="233"/>
      <c r="I3" s="233"/>
      <c r="J3" s="233"/>
      <c r="K3" s="230"/>
      <c r="L3" s="230"/>
      <c r="M3" s="230"/>
      <c r="N3" s="230"/>
    </row>
    <row r="4" spans="1:14">
      <c r="A4" s="230"/>
      <c r="B4" s="230"/>
      <c r="C4" s="230"/>
      <c r="D4" s="230"/>
      <c r="E4" s="230"/>
      <c r="F4" s="230"/>
      <c r="G4" s="230"/>
      <c r="H4" s="230"/>
      <c r="I4" s="230"/>
      <c r="J4" s="230"/>
      <c r="K4" s="230"/>
      <c r="L4" s="230"/>
      <c r="M4" s="230"/>
      <c r="N4" s="230"/>
    </row>
    <row r="5" spans="1:14" ht="15.6">
      <c r="A5" s="234" t="s">
        <v>75</v>
      </c>
      <c r="B5" s="230"/>
      <c r="C5" s="230"/>
      <c r="D5" s="230"/>
      <c r="E5" s="230"/>
      <c r="F5" s="230"/>
      <c r="G5" s="230"/>
      <c r="H5" s="230"/>
      <c r="I5" s="230"/>
      <c r="J5" s="230"/>
      <c r="K5" s="230"/>
      <c r="L5" s="230"/>
      <c r="M5" s="230"/>
      <c r="N5" s="230"/>
    </row>
    <row r="6" spans="1:14" ht="15.6">
      <c r="A6" s="234" t="s">
        <v>76</v>
      </c>
      <c r="B6" s="230"/>
      <c r="C6" s="230"/>
      <c r="D6" s="230"/>
      <c r="E6" s="230"/>
      <c r="F6" s="230"/>
      <c r="G6" s="230"/>
      <c r="H6" s="230"/>
      <c r="I6" s="230"/>
      <c r="J6" s="230"/>
      <c r="K6" s="230"/>
      <c r="L6" s="230"/>
      <c r="M6" s="230"/>
      <c r="N6" s="230"/>
    </row>
    <row r="7" spans="1:14">
      <c r="A7" s="230"/>
      <c r="B7" s="230"/>
      <c r="C7" s="230"/>
      <c r="D7" s="230"/>
      <c r="E7" s="230"/>
      <c r="F7" s="230"/>
      <c r="G7" s="230"/>
      <c r="H7" s="230"/>
      <c r="I7" s="230"/>
      <c r="J7" s="230"/>
      <c r="K7" s="230"/>
      <c r="L7" s="230"/>
      <c r="M7" s="230"/>
      <c r="N7" s="230"/>
    </row>
    <row r="8" spans="1:14" ht="15.6">
      <c r="A8" s="234" t="s">
        <v>77</v>
      </c>
      <c r="B8" s="230"/>
      <c r="C8" s="230"/>
      <c r="D8" s="230"/>
      <c r="E8" s="230"/>
      <c r="F8" s="230"/>
      <c r="G8" s="230"/>
      <c r="H8" s="230"/>
      <c r="I8" s="230"/>
      <c r="J8" s="230"/>
      <c r="K8" s="230"/>
      <c r="L8" s="230"/>
      <c r="M8" s="230"/>
      <c r="N8" s="230"/>
    </row>
    <row r="9" spans="1:14" ht="15">
      <c r="A9" s="235"/>
      <c r="B9" s="230"/>
      <c r="C9" s="230"/>
      <c r="D9" s="230"/>
      <c r="E9" s="230"/>
      <c r="F9" s="230"/>
      <c r="G9" s="230"/>
      <c r="H9" s="230"/>
      <c r="I9" s="230"/>
      <c r="J9" s="230"/>
      <c r="K9" s="230"/>
      <c r="L9" s="230"/>
      <c r="M9" s="230"/>
      <c r="N9" s="230"/>
    </row>
    <row r="10" spans="1:14" ht="16.2" thickBot="1">
      <c r="A10" s="234" t="s">
        <v>78</v>
      </c>
      <c r="B10" s="230"/>
      <c r="C10" s="230"/>
      <c r="D10" s="230"/>
      <c r="E10" s="230"/>
      <c r="F10" s="230"/>
      <c r="G10" s="230"/>
      <c r="H10" s="230"/>
      <c r="I10" s="230"/>
      <c r="J10" s="230"/>
      <c r="K10" s="230"/>
      <c r="L10" s="230"/>
      <c r="M10" s="230"/>
      <c r="N10" s="230"/>
    </row>
    <row r="11" spans="1:14" ht="47.4" thickBot="1">
      <c r="A11" s="236" t="s">
        <v>79</v>
      </c>
      <c r="B11" s="237" t="s">
        <v>80</v>
      </c>
      <c r="C11" s="237" t="s">
        <v>81</v>
      </c>
      <c r="D11" s="237" t="s">
        <v>82</v>
      </c>
      <c r="E11" s="230"/>
      <c r="F11" s="230"/>
      <c r="G11" s="230"/>
      <c r="H11" s="230"/>
      <c r="I11" s="230"/>
      <c r="J11" s="230"/>
      <c r="K11" s="230"/>
      <c r="L11" s="230"/>
      <c r="M11" s="230"/>
      <c r="N11" s="230"/>
    </row>
    <row r="12" spans="1:14" ht="47.4" thickBot="1">
      <c r="A12" s="238" t="s">
        <v>83</v>
      </c>
      <c r="B12" s="239" t="s">
        <v>84</v>
      </c>
      <c r="C12" s="239" t="s">
        <v>85</v>
      </c>
      <c r="D12" s="239" t="s">
        <v>86</v>
      </c>
      <c r="E12" s="230"/>
      <c r="F12" s="230"/>
      <c r="G12" s="230"/>
      <c r="H12" s="230"/>
      <c r="I12" s="230"/>
      <c r="J12" s="230"/>
      <c r="K12" s="230"/>
      <c r="L12" s="230"/>
      <c r="M12" s="230"/>
      <c r="N12" s="230"/>
    </row>
    <row r="13" spans="1:14" ht="31.8" thickBot="1">
      <c r="A13" s="238" t="s">
        <v>87</v>
      </c>
      <c r="B13" s="239" t="s">
        <v>88</v>
      </c>
      <c r="C13" s="240">
        <v>1.5</v>
      </c>
      <c r="D13" s="239" t="s">
        <v>89</v>
      </c>
      <c r="E13" s="230"/>
      <c r="F13" s="230"/>
      <c r="G13" s="230"/>
      <c r="H13" s="230"/>
      <c r="I13" s="230"/>
      <c r="J13" s="230"/>
      <c r="K13" s="230"/>
      <c r="L13" s="230"/>
      <c r="M13" s="230"/>
      <c r="N13" s="230"/>
    </row>
    <row r="14" spans="1:14" ht="15.6">
      <c r="A14" s="234"/>
      <c r="B14" s="241"/>
      <c r="C14" s="241"/>
      <c r="D14" s="241"/>
      <c r="E14" s="230"/>
      <c r="F14" s="230"/>
      <c r="G14" s="230"/>
      <c r="H14" s="230"/>
      <c r="I14" s="230"/>
      <c r="J14" s="230"/>
      <c r="K14" s="230"/>
      <c r="L14" s="230"/>
      <c r="M14" s="230"/>
      <c r="N14" s="230"/>
    </row>
    <row r="15" spans="1:14" ht="15">
      <c r="A15" s="235"/>
      <c r="B15" s="241"/>
      <c r="C15" s="241"/>
      <c r="D15" s="241"/>
      <c r="E15" s="230"/>
      <c r="F15" s="230"/>
      <c r="G15" s="230"/>
      <c r="H15" s="230"/>
      <c r="I15" s="230"/>
      <c r="J15" s="230"/>
      <c r="K15" s="230"/>
      <c r="L15" s="230"/>
      <c r="M15" s="230"/>
      <c r="N15" s="230"/>
    </row>
    <row r="16" spans="1:14" ht="16.2" thickBot="1">
      <c r="A16" s="234" t="s">
        <v>90</v>
      </c>
      <c r="B16" s="241"/>
      <c r="C16" s="241"/>
      <c r="D16" s="241"/>
      <c r="E16" s="230"/>
      <c r="F16" s="230"/>
      <c r="G16" s="230"/>
      <c r="H16" s="230"/>
      <c r="I16" s="230"/>
      <c r="J16" s="230"/>
      <c r="K16" s="230"/>
      <c r="L16" s="230"/>
      <c r="M16" s="230"/>
      <c r="N16" s="230"/>
    </row>
    <row r="17" spans="1:14" ht="16.2" thickBot="1">
      <c r="A17" s="242"/>
      <c r="B17" s="243" t="s">
        <v>91</v>
      </c>
      <c r="C17" s="243" t="s">
        <v>92</v>
      </c>
      <c r="D17" s="241"/>
      <c r="E17" s="230"/>
      <c r="F17" s="230"/>
      <c r="G17" s="230"/>
      <c r="H17" s="230"/>
      <c r="I17" s="230"/>
      <c r="J17" s="230"/>
      <c r="K17" s="230"/>
      <c r="L17" s="230"/>
      <c r="M17" s="230"/>
      <c r="N17" s="230"/>
    </row>
    <row r="18" spans="1:14" ht="31.8" thickBot="1">
      <c r="A18" s="244" t="s">
        <v>93</v>
      </c>
      <c r="B18" s="245">
        <v>5.0000000000000001E-4</v>
      </c>
      <c r="C18" s="246">
        <v>0.02</v>
      </c>
      <c r="D18" s="241"/>
      <c r="E18" s="230"/>
      <c r="F18" s="230"/>
      <c r="G18" s="230"/>
      <c r="H18" s="230"/>
      <c r="I18" s="230"/>
      <c r="J18" s="230"/>
      <c r="K18" s="230"/>
      <c r="L18" s="230"/>
      <c r="M18" s="230"/>
      <c r="N18" s="230"/>
    </row>
    <row r="19" spans="1:14" ht="16.2" thickBot="1">
      <c r="A19" s="247" t="s">
        <v>94</v>
      </c>
      <c r="B19" s="246">
        <v>1.6</v>
      </c>
      <c r="C19" s="246">
        <v>1.9</v>
      </c>
      <c r="D19" s="241"/>
      <c r="E19" s="230"/>
      <c r="F19" s="230"/>
      <c r="G19" s="230"/>
      <c r="H19" s="230"/>
      <c r="I19" s="230"/>
      <c r="J19" s="230"/>
      <c r="K19" s="230"/>
      <c r="L19" s="230"/>
      <c r="M19" s="230"/>
      <c r="N19" s="230"/>
    </row>
    <row r="20" spans="1:14" ht="16.2" thickBot="1">
      <c r="A20" s="247" t="s">
        <v>95</v>
      </c>
      <c r="B20" s="248">
        <v>650000</v>
      </c>
      <c r="C20" s="248">
        <v>740000</v>
      </c>
      <c r="D20" s="241"/>
      <c r="E20" s="230"/>
      <c r="F20" s="230"/>
      <c r="G20" s="230"/>
      <c r="H20" s="230"/>
      <c r="I20" s="230"/>
      <c r="J20" s="230"/>
      <c r="K20" s="230"/>
      <c r="L20" s="230"/>
      <c r="M20" s="230"/>
      <c r="N20" s="230"/>
    </row>
    <row r="21" spans="1:14" ht="16.2" thickBot="1">
      <c r="A21" s="247" t="s">
        <v>96</v>
      </c>
      <c r="B21" s="246">
        <v>0.03</v>
      </c>
      <c r="C21" s="246">
        <v>0.04</v>
      </c>
      <c r="D21" s="241"/>
      <c r="E21" s="230"/>
      <c r="F21" s="230"/>
      <c r="G21" s="230"/>
      <c r="H21" s="230"/>
      <c r="I21" s="230"/>
      <c r="J21" s="230"/>
      <c r="K21" s="230"/>
      <c r="L21" s="230"/>
      <c r="M21" s="230"/>
      <c r="N21" s="230"/>
    </row>
    <row r="22" spans="1:14" ht="15.6">
      <c r="A22" s="249"/>
      <c r="B22" s="230"/>
      <c r="C22" s="230"/>
      <c r="D22" s="230"/>
      <c r="E22" s="230"/>
      <c r="F22" s="230"/>
      <c r="G22" s="230"/>
      <c r="H22" s="230"/>
      <c r="I22" s="230"/>
      <c r="J22" s="230"/>
      <c r="K22" s="230"/>
      <c r="L22" s="230"/>
      <c r="M22" s="230"/>
      <c r="N22" s="230"/>
    </row>
    <row r="23" spans="1:14" ht="15.6">
      <c r="A23" s="249" t="s">
        <v>97</v>
      </c>
      <c r="B23" s="230"/>
      <c r="C23" s="230"/>
      <c r="D23" s="230"/>
      <c r="E23" s="230"/>
      <c r="F23" s="230"/>
      <c r="G23" s="230"/>
      <c r="H23" s="230"/>
      <c r="I23" s="230"/>
      <c r="J23" s="230"/>
      <c r="K23" s="230"/>
      <c r="L23" s="230"/>
      <c r="M23" s="230"/>
      <c r="N23" s="230"/>
    </row>
    <row r="24" spans="1:14" ht="15.6">
      <c r="A24" s="3" t="s">
        <v>22</v>
      </c>
    </row>
    <row r="25" spans="1:14">
      <c r="A25" s="250"/>
    </row>
    <row r="30" spans="1:14" ht="15.6">
      <c r="A30" s="249" t="s">
        <v>98</v>
      </c>
      <c r="B30" s="230"/>
      <c r="C30" s="230"/>
      <c r="D30" s="230"/>
      <c r="E30" s="230"/>
      <c r="F30" s="230"/>
      <c r="G30" s="230"/>
      <c r="H30" s="230"/>
      <c r="I30" s="230"/>
      <c r="J30" s="230"/>
      <c r="K30" s="230"/>
      <c r="L30" s="230"/>
      <c r="M30" s="230"/>
      <c r="N30" s="230"/>
    </row>
    <row r="31" spans="1:14" ht="15.6">
      <c r="A31" s="234"/>
      <c r="B31" s="230"/>
      <c r="C31" s="230"/>
      <c r="D31" s="230"/>
      <c r="E31" s="230"/>
      <c r="F31" s="230"/>
      <c r="G31" s="230"/>
      <c r="H31" s="230"/>
      <c r="I31" s="230"/>
      <c r="J31" s="230"/>
      <c r="K31" s="230"/>
      <c r="L31" s="230"/>
      <c r="M31" s="230"/>
      <c r="N31" s="230"/>
    </row>
    <row r="32" spans="1:14" ht="15.6">
      <c r="A32" s="251" t="s">
        <v>99</v>
      </c>
      <c r="B32" s="230"/>
      <c r="C32" s="230"/>
      <c r="D32" s="230"/>
      <c r="E32" s="230"/>
      <c r="F32" s="230"/>
      <c r="G32" s="230"/>
      <c r="H32" s="230"/>
      <c r="I32" s="230"/>
      <c r="J32" s="230"/>
      <c r="K32" s="230"/>
      <c r="L32" s="230"/>
      <c r="M32" s="230"/>
      <c r="N32" s="230"/>
    </row>
    <row r="33" spans="1:14" ht="15.6">
      <c r="A33" s="252"/>
      <c r="B33" s="230"/>
      <c r="C33" s="230"/>
      <c r="D33" s="230"/>
      <c r="E33" s="230"/>
      <c r="F33" s="230"/>
      <c r="G33" s="230"/>
      <c r="H33" s="230"/>
      <c r="I33" s="230"/>
      <c r="J33" s="230"/>
      <c r="K33" s="230"/>
      <c r="L33" s="230"/>
      <c r="M33" s="230"/>
      <c r="N33" s="230"/>
    </row>
    <row r="34" spans="1:14" ht="16.2" thickBot="1">
      <c r="A34" s="234" t="s">
        <v>100</v>
      </c>
      <c r="B34" s="230"/>
      <c r="C34" s="230"/>
      <c r="D34" s="230"/>
      <c r="E34" s="230"/>
      <c r="F34" s="230"/>
      <c r="G34" s="230"/>
      <c r="H34" s="230"/>
      <c r="I34" s="230"/>
      <c r="J34" s="230"/>
      <c r="K34" s="230"/>
      <c r="L34" s="230"/>
      <c r="M34" s="230"/>
      <c r="N34" s="230"/>
    </row>
    <row r="35" spans="1:14" ht="16.2" thickBot="1">
      <c r="A35" s="236" t="s">
        <v>79</v>
      </c>
      <c r="B35" s="253" t="s">
        <v>44</v>
      </c>
      <c r="C35" s="230"/>
      <c r="D35" s="230"/>
      <c r="E35" s="230"/>
      <c r="F35" s="230"/>
      <c r="G35" s="230"/>
      <c r="H35" s="230"/>
      <c r="I35" s="230"/>
      <c r="J35" s="230"/>
      <c r="K35" s="230"/>
      <c r="L35" s="230"/>
      <c r="M35" s="230"/>
      <c r="N35" s="230"/>
    </row>
    <row r="36" spans="1:14" ht="16.2" thickBot="1">
      <c r="A36" s="238" t="s">
        <v>101</v>
      </c>
      <c r="B36" s="254">
        <v>-50000</v>
      </c>
      <c r="C36" s="230"/>
      <c r="D36" s="230"/>
      <c r="E36" s="230"/>
      <c r="F36" s="230"/>
      <c r="G36" s="230"/>
      <c r="H36" s="230"/>
      <c r="I36" s="230"/>
      <c r="J36" s="230"/>
      <c r="K36" s="230"/>
      <c r="L36" s="230"/>
      <c r="M36" s="230"/>
      <c r="N36" s="230"/>
    </row>
    <row r="37" spans="1:14" ht="16.2" thickBot="1">
      <c r="A37" s="238" t="s">
        <v>102</v>
      </c>
      <c r="B37" s="254">
        <v>500000</v>
      </c>
      <c r="C37" s="230"/>
      <c r="D37" s="230"/>
      <c r="E37" s="230"/>
      <c r="F37" s="230"/>
      <c r="G37" s="230"/>
      <c r="H37" s="230"/>
      <c r="I37" s="230"/>
      <c r="J37" s="230"/>
      <c r="K37" s="230"/>
      <c r="L37" s="230"/>
      <c r="M37" s="230"/>
      <c r="N37" s="230"/>
    </row>
    <row r="38" spans="1:14" ht="15.6">
      <c r="A38" s="234"/>
      <c r="B38" s="230"/>
      <c r="C38" s="230"/>
      <c r="D38" s="230"/>
      <c r="E38" s="230"/>
      <c r="F38" s="230"/>
      <c r="G38" s="230"/>
      <c r="H38" s="230"/>
      <c r="I38" s="230"/>
      <c r="J38" s="230"/>
      <c r="K38" s="230"/>
      <c r="L38" s="230"/>
      <c r="M38" s="230"/>
      <c r="N38" s="230"/>
    </row>
    <row r="39" spans="1:14" ht="15.6">
      <c r="A39" s="249" t="s">
        <v>103</v>
      </c>
      <c r="B39" s="230"/>
      <c r="C39" s="230"/>
      <c r="D39" s="230"/>
      <c r="E39" s="230"/>
      <c r="F39" s="230"/>
      <c r="G39" s="230"/>
      <c r="H39" s="230"/>
      <c r="I39" s="230"/>
      <c r="J39" s="230"/>
      <c r="K39" s="230"/>
      <c r="L39" s="230"/>
      <c r="M39" s="230"/>
      <c r="N39" s="230"/>
    </row>
    <row r="40" spans="1:14" ht="15.6">
      <c r="A40" s="3" t="s">
        <v>22</v>
      </c>
    </row>
  </sheetData>
  <pageMargins left="0.7" right="0.7" top="0.75" bottom="0.75" header="0.3" footer="0.3"/>
  <pageSetup orientation="portrait"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0DEC-26C7-4EA0-9727-0E4F5E7CEFCB}">
  <sheetPr>
    <tabColor theme="6" tint="0.39997558519241921"/>
  </sheetPr>
  <dimension ref="B3:J15"/>
  <sheetViews>
    <sheetView showGridLines="0" workbookViewId="0">
      <selection activeCell="G12" sqref="G12"/>
    </sheetView>
  </sheetViews>
  <sheetFormatPr defaultColWidth="8.77734375" defaultRowHeight="13.8"/>
  <cols>
    <col min="1" max="1" width="8.77734375" style="4"/>
    <col min="2" max="2" width="33.33203125" style="4" customWidth="1"/>
    <col min="3" max="4" width="13" style="4" bestFit="1" customWidth="1"/>
    <col min="5" max="8" width="8.77734375" style="4"/>
    <col min="9" max="9" width="20.77734375" style="4" customWidth="1"/>
    <col min="10" max="16384" width="8.77734375" style="4"/>
  </cols>
  <sheetData>
    <row r="3" spans="2:10" ht="14.4" thickBot="1">
      <c r="C3" s="5" t="s">
        <v>91</v>
      </c>
      <c r="D3" s="5" t="s">
        <v>92</v>
      </c>
    </row>
    <row r="4" spans="2:10" ht="63" thickBot="1">
      <c r="B4" s="6" t="s">
        <v>111</v>
      </c>
      <c r="C4" s="7">
        <v>5.0000000000000001E-4</v>
      </c>
      <c r="D4" s="8">
        <v>0.02</v>
      </c>
      <c r="E4" s="5"/>
      <c r="G4" s="9" t="s">
        <v>79</v>
      </c>
      <c r="H4" s="9" t="s">
        <v>80</v>
      </c>
      <c r="I4" s="9" t="s">
        <v>112</v>
      </c>
      <c r="J4" s="9" t="s">
        <v>82</v>
      </c>
    </row>
    <row r="5" spans="2:10" ht="16.2" thickBot="1">
      <c r="B5" s="10" t="s">
        <v>113</v>
      </c>
      <c r="C5" s="11">
        <v>1.6</v>
      </c>
      <c r="D5" s="12">
        <v>1.9</v>
      </c>
      <c r="G5" s="13" t="s">
        <v>83</v>
      </c>
      <c r="H5" s="13" t="s">
        <v>84</v>
      </c>
      <c r="I5" s="14">
        <v>1</v>
      </c>
      <c r="J5" s="13" t="s">
        <v>86</v>
      </c>
    </row>
    <row r="6" spans="2:10" ht="16.2" thickBot="1">
      <c r="B6" s="10" t="s">
        <v>95</v>
      </c>
      <c r="C6" s="15">
        <v>650000</v>
      </c>
      <c r="D6" s="16">
        <v>740000</v>
      </c>
      <c r="G6" s="313" t="s">
        <v>92</v>
      </c>
      <c r="H6" s="313" t="s">
        <v>88</v>
      </c>
      <c r="I6" s="314">
        <v>1.5</v>
      </c>
      <c r="J6" s="313" t="s">
        <v>89</v>
      </c>
    </row>
    <row r="7" spans="2:10" ht="16.2" thickBot="1">
      <c r="B7" s="10" t="s">
        <v>96</v>
      </c>
      <c r="C7" s="11">
        <v>0.03</v>
      </c>
      <c r="D7" s="12">
        <v>0.04</v>
      </c>
    </row>
    <row r="9" spans="2:10" ht="15.6">
      <c r="B9" s="17" t="s">
        <v>114</v>
      </c>
      <c r="C9" s="18" t="s">
        <v>115</v>
      </c>
      <c r="D9" s="19"/>
      <c r="F9" s="20"/>
      <c r="G9" s="20"/>
    </row>
    <row r="10" spans="2:10" ht="15.6">
      <c r="B10" s="17"/>
      <c r="C10" s="21" t="s">
        <v>116</v>
      </c>
      <c r="D10" s="22" t="s">
        <v>117</v>
      </c>
      <c r="F10" s="20"/>
      <c r="G10" s="20"/>
    </row>
    <row r="11" spans="2:10" ht="15.6">
      <c r="B11" s="17"/>
      <c r="C11" s="23">
        <f>C5-I5</f>
        <v>0.60000000000000009</v>
      </c>
      <c r="D11" s="23">
        <f>D5-I6</f>
        <v>0.39999999999999991</v>
      </c>
      <c r="F11" s="20"/>
      <c r="G11" s="20"/>
    </row>
    <row r="12" spans="2:10" ht="15.6">
      <c r="B12" s="17" t="s">
        <v>118</v>
      </c>
      <c r="C12" s="22" t="s">
        <v>119</v>
      </c>
      <c r="F12" s="20"/>
      <c r="G12" s="20"/>
    </row>
    <row r="13" spans="2:10" ht="15.6">
      <c r="B13" s="17"/>
      <c r="C13" s="24">
        <f>C11*C6</f>
        <v>390000.00000000006</v>
      </c>
      <c r="D13" s="24">
        <f>D11*D6</f>
        <v>295999.99999999994</v>
      </c>
      <c r="F13" s="20"/>
      <c r="G13" s="20"/>
    </row>
    <row r="14" spans="2:10" ht="15.6">
      <c r="B14" s="17" t="s">
        <v>120</v>
      </c>
      <c r="C14" s="22" t="s">
        <v>121</v>
      </c>
    </row>
    <row r="15" spans="2:10">
      <c r="C15" s="25">
        <f>C13/(1+C7)</f>
        <v>378640.7766990292</v>
      </c>
      <c r="D15" s="25">
        <f>D13/(1+D7)</f>
        <v>284615.38461538457</v>
      </c>
    </row>
  </sheetData>
  <pageMargins left="0.7" right="0.7" top="0.75" bottom="0.75" header="0.3" footer="0.3"/>
  <pageSetup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2B8E-1147-4A12-BEFC-BE02FF25F212}">
  <sheetPr>
    <tabColor rgb="FFFF0000"/>
  </sheetPr>
  <dimension ref="A1:N62"/>
  <sheetViews>
    <sheetView workbookViewId="0">
      <selection activeCell="J10" sqref="J10"/>
    </sheetView>
  </sheetViews>
  <sheetFormatPr defaultColWidth="8.88671875" defaultRowHeight="15.6"/>
  <cols>
    <col min="1" max="1" width="8.88671875" style="256"/>
    <col min="2" max="2" width="9.44140625" style="256" customWidth="1"/>
    <col min="3" max="3" width="20.109375" style="256" customWidth="1"/>
    <col min="4" max="4" width="13.6640625" style="256" customWidth="1"/>
    <col min="5" max="5" width="12.5546875" style="256" customWidth="1"/>
    <col min="6" max="6" width="10.33203125" style="256" customWidth="1"/>
    <col min="7" max="12" width="8.88671875" style="256"/>
    <col min="13" max="13" width="10.44140625" style="256" customWidth="1"/>
    <col min="14" max="14" width="11.109375" style="256" customWidth="1"/>
    <col min="15" max="16384" width="8.88671875" style="256"/>
  </cols>
  <sheetData>
    <row r="1" spans="1:13" ht="17.399999999999999">
      <c r="A1" s="229" t="s">
        <v>391</v>
      </c>
      <c r="B1" s="255"/>
      <c r="C1" s="255"/>
      <c r="D1" s="255"/>
      <c r="E1" s="255"/>
      <c r="F1" s="255"/>
      <c r="G1" s="255"/>
      <c r="H1" s="255"/>
      <c r="I1" s="255"/>
      <c r="J1" s="255"/>
      <c r="K1" s="255"/>
      <c r="L1" s="255"/>
      <c r="M1" s="255"/>
    </row>
    <row r="2" spans="1:13">
      <c r="A2" s="232" t="s">
        <v>392</v>
      </c>
      <c r="B2" s="255"/>
      <c r="C2" s="255"/>
      <c r="D2" s="255"/>
      <c r="E2" s="255"/>
      <c r="F2" s="255"/>
      <c r="G2" s="255"/>
      <c r="H2" s="255"/>
      <c r="I2" s="255"/>
      <c r="J2" s="255"/>
      <c r="K2" s="255"/>
      <c r="L2" s="255"/>
      <c r="M2" s="255"/>
    </row>
    <row r="3" spans="1:13">
      <c r="A3" s="232" t="s">
        <v>393</v>
      </c>
      <c r="B3" s="255"/>
      <c r="C3" s="255"/>
      <c r="D3" s="255"/>
      <c r="E3" s="255"/>
      <c r="F3" s="255"/>
      <c r="G3" s="255"/>
      <c r="H3" s="255"/>
      <c r="I3" s="255"/>
      <c r="J3" s="255"/>
      <c r="K3" s="255"/>
      <c r="L3" s="255"/>
      <c r="M3" s="255"/>
    </row>
    <row r="4" spans="1:13">
      <c r="A4" s="255"/>
      <c r="B4" s="255"/>
      <c r="C4" s="255"/>
      <c r="D4" s="255"/>
      <c r="E4" s="255"/>
      <c r="F4" s="255"/>
      <c r="G4" s="255"/>
      <c r="H4" s="255"/>
      <c r="I4" s="255"/>
      <c r="J4" s="255"/>
      <c r="K4" s="255"/>
      <c r="L4" s="255"/>
      <c r="M4" s="255"/>
    </row>
    <row r="5" spans="1:13">
      <c r="A5" s="255" t="s">
        <v>394</v>
      </c>
      <c r="B5" s="255"/>
      <c r="C5" s="255"/>
      <c r="D5" s="255"/>
      <c r="E5" s="255"/>
      <c r="F5" s="255"/>
      <c r="G5" s="255"/>
      <c r="H5" s="255"/>
      <c r="I5" s="255"/>
      <c r="J5" s="255"/>
      <c r="K5" s="255"/>
      <c r="L5" s="255"/>
      <c r="M5" s="255"/>
    </row>
    <row r="6" spans="1:13">
      <c r="A6" s="255" t="s">
        <v>395</v>
      </c>
      <c r="B6" s="255"/>
      <c r="C6" s="255"/>
      <c r="D6" s="255"/>
      <c r="E6" s="255"/>
      <c r="F6" s="255"/>
      <c r="G6" s="255"/>
      <c r="H6" s="255"/>
      <c r="I6" s="255"/>
      <c r="J6" s="255"/>
      <c r="K6" s="255"/>
      <c r="L6" s="255"/>
      <c r="M6" s="255"/>
    </row>
    <row r="7" spans="1:13">
      <c r="A7" s="255"/>
      <c r="B7" s="255"/>
      <c r="C7" s="255"/>
      <c r="D7" s="255"/>
      <c r="E7" s="255"/>
      <c r="F7" s="255"/>
      <c r="G7" s="255"/>
      <c r="H7" s="255"/>
      <c r="I7" s="255"/>
      <c r="J7" s="255"/>
      <c r="K7" s="255"/>
      <c r="L7" s="255"/>
      <c r="M7" s="255"/>
    </row>
    <row r="8" spans="1:13">
      <c r="A8" s="255" t="s">
        <v>396</v>
      </c>
      <c r="B8" s="255"/>
      <c r="C8" s="255"/>
      <c r="D8" s="255"/>
      <c r="E8" s="255"/>
      <c r="F8" s="255"/>
      <c r="G8" s="255"/>
      <c r="H8" s="255"/>
      <c r="I8" s="255"/>
      <c r="J8" s="255"/>
      <c r="K8" s="255"/>
      <c r="L8" s="255"/>
      <c r="M8" s="255"/>
    </row>
    <row r="9" spans="1:13">
      <c r="A9" s="255"/>
      <c r="B9" s="255"/>
      <c r="C9" s="255"/>
      <c r="D9" s="255"/>
      <c r="E9" s="255"/>
      <c r="F9" s="255"/>
      <c r="G9" s="255"/>
      <c r="H9" s="255"/>
      <c r="I9" s="255"/>
      <c r="J9" s="255"/>
      <c r="K9" s="255"/>
      <c r="L9" s="255"/>
      <c r="M9" s="255"/>
    </row>
    <row r="10" spans="1:13">
      <c r="A10" s="255" t="s">
        <v>397</v>
      </c>
      <c r="B10" s="255"/>
      <c r="C10" s="255"/>
      <c r="D10" s="255"/>
      <c r="E10" s="255"/>
      <c r="F10" s="255"/>
      <c r="G10" s="255"/>
      <c r="H10" s="255"/>
      <c r="I10" s="255"/>
      <c r="J10" s="255"/>
      <c r="K10" s="255"/>
      <c r="L10" s="255"/>
      <c r="M10" s="255"/>
    </row>
    <row r="11" spans="1:13" ht="12" customHeight="1">
      <c r="A11" s="255"/>
      <c r="B11" s="255"/>
      <c r="C11" s="255"/>
      <c r="D11" s="255"/>
      <c r="E11" s="255"/>
      <c r="F11" s="255"/>
      <c r="G11" s="255"/>
      <c r="H11" s="255"/>
      <c r="I11" s="255"/>
      <c r="J11" s="255"/>
      <c r="K11" s="255"/>
      <c r="L11" s="255"/>
      <c r="M11" s="255"/>
    </row>
    <row r="12" spans="1:13" ht="27" customHeight="1" thickBot="1">
      <c r="A12" s="255"/>
      <c r="B12" s="255"/>
      <c r="C12" s="758" t="s">
        <v>398</v>
      </c>
      <c r="D12" s="758"/>
      <c r="E12" s="257" t="s">
        <v>399</v>
      </c>
      <c r="F12" s="258" t="s">
        <v>400</v>
      </c>
      <c r="G12" s="255"/>
      <c r="H12" s="255"/>
      <c r="I12" s="255"/>
      <c r="J12" s="255"/>
      <c r="K12" s="255"/>
      <c r="L12" s="255"/>
      <c r="M12" s="259"/>
    </row>
    <row r="13" spans="1:13" ht="12.75" customHeight="1" thickBot="1">
      <c r="A13" s="255"/>
      <c r="B13" s="255"/>
      <c r="C13" s="759" t="s">
        <v>401</v>
      </c>
      <c r="D13" s="759"/>
      <c r="E13" s="260">
        <v>1.2999999999999999E-2</v>
      </c>
      <c r="F13" s="261">
        <v>3.2000000000000001E-2</v>
      </c>
      <c r="G13" s="262"/>
      <c r="H13" s="263"/>
      <c r="I13" s="264"/>
      <c r="J13" s="255"/>
      <c r="K13" s="255"/>
      <c r="L13" s="255"/>
      <c r="M13" s="255"/>
    </row>
    <row r="14" spans="1:13" ht="12.75" customHeight="1" thickBot="1">
      <c r="A14" s="255"/>
      <c r="B14" s="255"/>
      <c r="C14" s="759" t="s">
        <v>402</v>
      </c>
      <c r="D14" s="759"/>
      <c r="E14" s="265">
        <v>0.04</v>
      </c>
      <c r="F14" s="266">
        <v>5.1999999999999998E-2</v>
      </c>
      <c r="G14" s="262"/>
      <c r="H14" s="263"/>
      <c r="I14" s="264"/>
      <c r="J14" s="255"/>
      <c r="K14" s="255"/>
      <c r="L14" s="255"/>
      <c r="M14" s="255"/>
    </row>
    <row r="15" spans="1:13" ht="16.2" thickBot="1">
      <c r="A15" s="255"/>
      <c r="B15" s="255"/>
      <c r="C15" s="759" t="s">
        <v>403</v>
      </c>
      <c r="D15" s="759"/>
      <c r="E15" s="265">
        <v>9.6000000000000002E-2</v>
      </c>
      <c r="F15" s="267">
        <v>0.1</v>
      </c>
      <c r="G15" s="262"/>
      <c r="H15" s="263"/>
      <c r="I15" s="268"/>
      <c r="J15" s="255"/>
      <c r="K15" s="255"/>
      <c r="L15" s="255"/>
      <c r="M15" s="255"/>
    </row>
    <row r="16" spans="1:13">
      <c r="A16" s="255"/>
      <c r="B16" s="255"/>
      <c r="C16" s="255"/>
      <c r="D16" s="255"/>
      <c r="E16" s="255"/>
      <c r="F16" s="255"/>
      <c r="G16" s="255"/>
      <c r="H16" s="255"/>
      <c r="I16" s="255"/>
      <c r="J16" s="255"/>
      <c r="K16" s="255"/>
      <c r="L16" s="255"/>
      <c r="M16" s="255"/>
    </row>
    <row r="17" spans="1:13">
      <c r="A17" s="255"/>
      <c r="B17" s="255"/>
      <c r="C17" s="758" t="s">
        <v>404</v>
      </c>
      <c r="D17" s="758"/>
      <c r="E17" s="758"/>
      <c r="F17" s="758"/>
      <c r="G17" s="758"/>
      <c r="H17" s="758"/>
      <c r="I17" s="758"/>
      <c r="J17" s="758"/>
      <c r="K17" s="255"/>
      <c r="L17" s="255"/>
      <c r="M17" s="255"/>
    </row>
    <row r="18" spans="1:13">
      <c r="A18" s="255"/>
      <c r="B18" s="255"/>
      <c r="C18" s="269" t="s">
        <v>405</v>
      </c>
      <c r="D18" s="270" t="s">
        <v>406</v>
      </c>
      <c r="E18" s="270" t="s">
        <v>407</v>
      </c>
      <c r="F18" s="270" t="s">
        <v>408</v>
      </c>
      <c r="G18" s="270" t="s">
        <v>409</v>
      </c>
      <c r="H18" s="270" t="s">
        <v>410</v>
      </c>
      <c r="I18" s="270" t="s">
        <v>411</v>
      </c>
      <c r="J18" s="271" t="s">
        <v>412</v>
      </c>
      <c r="K18" s="255"/>
      <c r="L18" s="255"/>
      <c r="M18" s="255"/>
    </row>
    <row r="19" spans="1:13">
      <c r="A19" s="255"/>
      <c r="B19" s="255"/>
      <c r="C19" s="272">
        <v>1E-3</v>
      </c>
      <c r="D19" s="272">
        <v>5.0000000000000001E-3</v>
      </c>
      <c r="E19" s="272">
        <v>0.01</v>
      </c>
      <c r="F19" s="272">
        <v>1.2500000000000001E-2</v>
      </c>
      <c r="G19" s="272">
        <v>0.02</v>
      </c>
      <c r="H19" s="272">
        <v>2.5000000000000001E-2</v>
      </c>
      <c r="I19" s="272">
        <v>3.2500000000000001E-2</v>
      </c>
      <c r="J19" s="272">
        <v>3.5000000000000003E-2</v>
      </c>
      <c r="K19" s="255"/>
      <c r="L19" s="255"/>
      <c r="M19" s="255"/>
    </row>
    <row r="20" spans="1:13">
      <c r="A20" s="255"/>
      <c r="B20" s="255"/>
      <c r="C20" s="255"/>
      <c r="D20" s="255"/>
      <c r="E20" s="255"/>
      <c r="F20" s="255"/>
      <c r="G20" s="255"/>
      <c r="H20" s="255"/>
      <c r="I20" s="255"/>
      <c r="J20" s="255"/>
      <c r="K20" s="255"/>
      <c r="L20" s="255"/>
      <c r="M20" s="255"/>
    </row>
    <row r="21" spans="1:13">
      <c r="A21" s="255"/>
      <c r="B21" s="255"/>
      <c r="C21" s="255"/>
      <c r="D21" s="255"/>
      <c r="E21" s="255"/>
      <c r="F21" s="255"/>
      <c r="G21" s="255"/>
      <c r="H21" s="255"/>
      <c r="I21" s="255"/>
      <c r="J21" s="255"/>
      <c r="K21" s="255"/>
      <c r="L21" s="255"/>
      <c r="M21" s="273"/>
    </row>
    <row r="22" spans="1:13">
      <c r="A22" s="255"/>
      <c r="B22" s="255"/>
      <c r="C22" s="757"/>
      <c r="D22" s="757"/>
      <c r="E22" s="757"/>
      <c r="F22" s="757"/>
      <c r="G22" s="757"/>
      <c r="H22" s="757"/>
      <c r="I22" s="757"/>
      <c r="J22" s="757"/>
      <c r="K22" s="255"/>
      <c r="L22" s="255"/>
      <c r="M22" s="273"/>
    </row>
    <row r="23" spans="1:13">
      <c r="A23" s="255"/>
      <c r="B23" s="255" t="s">
        <v>413</v>
      </c>
      <c r="C23" s="255" t="s">
        <v>414</v>
      </c>
      <c r="D23" s="274"/>
      <c r="E23" s="274"/>
      <c r="F23" s="274"/>
      <c r="G23" s="274"/>
      <c r="H23" s="274"/>
      <c r="I23" s="274"/>
      <c r="J23" s="274"/>
      <c r="K23" s="255"/>
      <c r="L23" s="255"/>
      <c r="M23" s="273"/>
    </row>
    <row r="24" spans="1:13" ht="12.75" customHeight="1">
      <c r="A24" s="255"/>
      <c r="B24" s="275"/>
      <c r="C24" s="275" t="s">
        <v>415</v>
      </c>
      <c r="D24" s="274"/>
      <c r="E24" s="274"/>
      <c r="F24" s="274"/>
      <c r="G24" s="274"/>
      <c r="H24" s="274"/>
      <c r="I24" s="274"/>
      <c r="J24" s="274"/>
      <c r="K24" s="255"/>
      <c r="L24" s="255"/>
      <c r="M24" s="273"/>
    </row>
    <row r="25" spans="1:13">
      <c r="A25" s="255"/>
      <c r="B25" s="255"/>
      <c r="C25" s="276"/>
      <c r="D25" s="276"/>
      <c r="E25" s="276"/>
      <c r="F25" s="276"/>
      <c r="G25" s="276"/>
      <c r="H25" s="276"/>
      <c r="I25" s="276"/>
      <c r="J25" s="276"/>
      <c r="K25" s="255"/>
      <c r="L25" s="255"/>
      <c r="M25" s="273"/>
    </row>
    <row r="26" spans="1:13" ht="12.75" customHeight="1">
      <c r="A26" s="255"/>
      <c r="B26" s="255"/>
      <c r="C26" s="277"/>
      <c r="D26" s="278" t="s">
        <v>416</v>
      </c>
      <c r="E26" s="278" t="s">
        <v>417</v>
      </c>
      <c r="F26" s="255"/>
      <c r="G26" s="255"/>
      <c r="H26" s="255"/>
      <c r="I26" s="255"/>
      <c r="J26" s="255"/>
      <c r="K26" s="255"/>
      <c r="L26" s="255"/>
      <c r="M26" s="273"/>
    </row>
    <row r="27" spans="1:13" ht="12.75" customHeight="1">
      <c r="A27" s="255"/>
      <c r="B27" s="255"/>
      <c r="C27" s="277">
        <v>0</v>
      </c>
      <c r="D27" s="279"/>
      <c r="E27" s="280"/>
      <c r="F27" s="255"/>
      <c r="G27" s="255"/>
      <c r="H27" s="255"/>
      <c r="I27" s="255"/>
      <c r="J27" s="255"/>
      <c r="K27" s="255"/>
      <c r="L27" s="255"/>
      <c r="M27" s="273"/>
    </row>
    <row r="28" spans="1:13">
      <c r="A28" s="255"/>
      <c r="B28" s="255"/>
      <c r="C28" s="277">
        <f>1+C27</f>
        <v>1</v>
      </c>
      <c r="D28" s="279"/>
      <c r="E28" s="279"/>
      <c r="F28" s="255"/>
      <c r="G28" s="255"/>
      <c r="H28" s="255"/>
      <c r="I28" s="255"/>
      <c r="J28" s="255"/>
      <c r="K28" s="255"/>
      <c r="L28" s="255"/>
      <c r="M28" s="273"/>
    </row>
    <row r="29" spans="1:13">
      <c r="A29" s="255"/>
      <c r="B29" s="255"/>
      <c r="C29" s="277">
        <v>10</v>
      </c>
      <c r="D29" s="279"/>
      <c r="E29" s="279"/>
      <c r="F29" s="255"/>
      <c r="G29" s="255"/>
      <c r="H29" s="255"/>
      <c r="I29" s="255"/>
      <c r="J29" s="255"/>
      <c r="K29" s="255"/>
      <c r="L29" s="255"/>
      <c r="M29" s="273"/>
    </row>
    <row r="30" spans="1:13">
      <c r="A30" s="255"/>
      <c r="B30" s="255"/>
      <c r="C30" s="277">
        <v>20</v>
      </c>
      <c r="D30" s="279"/>
      <c r="E30" s="279"/>
      <c r="F30" s="255"/>
      <c r="G30" s="255"/>
      <c r="H30" s="255"/>
      <c r="I30" s="255"/>
      <c r="J30" s="255"/>
      <c r="K30" s="255"/>
      <c r="L30" s="255"/>
      <c r="M30" s="273"/>
    </row>
    <row r="31" spans="1:13">
      <c r="A31" s="255"/>
      <c r="B31" s="255"/>
      <c r="C31" s="277">
        <v>30</v>
      </c>
      <c r="D31" s="279"/>
      <c r="E31" s="279"/>
      <c r="F31" s="255"/>
      <c r="G31" s="255"/>
      <c r="H31" s="255"/>
      <c r="I31" s="255"/>
      <c r="J31" s="255"/>
      <c r="K31" s="255"/>
      <c r="L31" s="255"/>
      <c r="M31" s="273"/>
    </row>
    <row r="32" spans="1:13">
      <c r="A32" s="255"/>
      <c r="B32" s="255"/>
      <c r="C32" s="277">
        <v>40</v>
      </c>
      <c r="D32" s="279"/>
      <c r="E32" s="279"/>
      <c r="F32" s="255"/>
      <c r="G32" s="255"/>
      <c r="H32" s="255"/>
      <c r="I32" s="255"/>
      <c r="J32" s="255"/>
      <c r="K32" s="255"/>
      <c r="L32" s="255"/>
      <c r="M32" s="273"/>
    </row>
    <row r="33" spans="1:13">
      <c r="A33" s="255"/>
      <c r="B33" s="255"/>
      <c r="C33" s="277">
        <v>50</v>
      </c>
      <c r="D33" s="279"/>
      <c r="E33" s="279"/>
      <c r="F33" s="255"/>
      <c r="G33" s="255"/>
      <c r="H33" s="255"/>
      <c r="I33" s="255"/>
      <c r="J33" s="255"/>
      <c r="K33" s="255"/>
      <c r="L33" s="255"/>
      <c r="M33" s="273"/>
    </row>
    <row r="35" spans="1:13">
      <c r="A35" s="256" t="s">
        <v>22</v>
      </c>
    </row>
    <row r="41" spans="1:13">
      <c r="A41" s="281"/>
      <c r="B41" s="281" t="s">
        <v>418</v>
      </c>
      <c r="C41" s="255"/>
      <c r="D41" s="255"/>
      <c r="E41" s="255"/>
      <c r="F41" s="255"/>
      <c r="G41" s="255"/>
      <c r="H41" s="255"/>
      <c r="I41" s="255"/>
      <c r="J41" s="255"/>
      <c r="K41" s="255"/>
      <c r="L41" s="255"/>
      <c r="M41" s="255"/>
    </row>
    <row r="42" spans="1:13">
      <c r="A42" s="255"/>
      <c r="B42" s="255"/>
      <c r="C42" s="255"/>
      <c r="D42" s="255"/>
      <c r="E42" s="255"/>
      <c r="F42" s="255"/>
      <c r="G42" s="255"/>
      <c r="H42" s="255"/>
      <c r="I42" s="255"/>
      <c r="J42" s="255"/>
      <c r="K42" s="255"/>
      <c r="L42" s="255"/>
      <c r="M42" s="255"/>
    </row>
    <row r="43" spans="1:13">
      <c r="A43" s="255"/>
      <c r="B43" s="255"/>
      <c r="C43" s="277" t="s">
        <v>419</v>
      </c>
      <c r="D43" s="277">
        <v>1000</v>
      </c>
      <c r="E43" s="255"/>
      <c r="F43" s="255"/>
      <c r="G43" s="255"/>
      <c r="H43" s="255"/>
      <c r="I43" s="255"/>
      <c r="J43" s="255"/>
      <c r="K43" s="255"/>
      <c r="L43" s="255"/>
      <c r="M43" s="255"/>
    </row>
    <row r="44" spans="1:13">
      <c r="A44" s="255"/>
      <c r="B44" s="255"/>
      <c r="C44" s="277" t="s">
        <v>420</v>
      </c>
      <c r="D44" s="277">
        <v>900</v>
      </c>
      <c r="E44" s="255"/>
      <c r="F44" s="255"/>
      <c r="G44" s="255"/>
      <c r="H44" s="255"/>
      <c r="I44" s="255"/>
      <c r="J44" s="255"/>
      <c r="K44" s="255"/>
      <c r="L44" s="255"/>
      <c r="M44" s="255"/>
    </row>
    <row r="45" spans="1:13">
      <c r="A45" s="255"/>
      <c r="B45" s="255"/>
      <c r="C45" s="277" t="s">
        <v>421</v>
      </c>
      <c r="D45" s="277">
        <v>-500</v>
      </c>
      <c r="E45" s="255"/>
      <c r="F45" s="255"/>
      <c r="G45" s="255"/>
      <c r="H45" s="255"/>
      <c r="I45" s="255"/>
      <c r="J45" s="255"/>
      <c r="K45" s="255"/>
      <c r="L45" s="255"/>
      <c r="M45" s="255"/>
    </row>
    <row r="46" spans="1:13">
      <c r="A46" s="255"/>
      <c r="B46" s="255"/>
      <c r="C46" s="277" t="s">
        <v>422</v>
      </c>
      <c r="D46" s="277">
        <v>300</v>
      </c>
      <c r="E46" s="255"/>
      <c r="F46" s="255"/>
      <c r="G46" s="255"/>
      <c r="H46" s="255"/>
      <c r="I46" s="255"/>
      <c r="J46" s="255"/>
      <c r="K46" s="255"/>
      <c r="L46" s="255"/>
      <c r="M46" s="255"/>
    </row>
    <row r="47" spans="1:13">
      <c r="A47" s="255"/>
      <c r="B47" s="255"/>
      <c r="C47" s="277" t="s">
        <v>423</v>
      </c>
      <c r="D47" s="277">
        <v>0</v>
      </c>
      <c r="E47" s="255"/>
      <c r="F47" s="255"/>
      <c r="G47" s="255"/>
      <c r="H47" s="255"/>
      <c r="I47" s="255"/>
      <c r="J47" s="255"/>
      <c r="K47" s="255"/>
      <c r="L47" s="255"/>
      <c r="M47" s="255"/>
    </row>
    <row r="48" spans="1:13">
      <c r="A48" s="255"/>
      <c r="B48" s="255"/>
      <c r="C48" s="255"/>
      <c r="D48" s="255"/>
      <c r="E48" s="255"/>
      <c r="F48" s="255"/>
      <c r="G48" s="255"/>
      <c r="H48" s="255"/>
      <c r="I48" s="255"/>
      <c r="J48" s="255"/>
      <c r="K48" s="255"/>
      <c r="L48" s="255"/>
      <c r="M48" s="255"/>
    </row>
    <row r="49" spans="1:14">
      <c r="A49" s="255"/>
      <c r="B49" s="282" t="s">
        <v>424</v>
      </c>
      <c r="C49" s="255"/>
      <c r="D49" s="255"/>
      <c r="E49" s="255"/>
      <c r="F49" s="255"/>
      <c r="G49" s="255"/>
      <c r="H49" s="255"/>
      <c r="I49" s="255"/>
      <c r="J49" s="255"/>
      <c r="K49" s="255"/>
      <c r="L49" s="255"/>
      <c r="M49" s="255"/>
    </row>
    <row r="50" spans="1:14">
      <c r="A50" s="255"/>
      <c r="B50" s="283"/>
      <c r="C50" s="255"/>
      <c r="D50" s="255"/>
      <c r="E50" s="255"/>
      <c r="F50" s="255"/>
      <c r="G50" s="255"/>
      <c r="H50" s="255"/>
      <c r="I50" s="255"/>
      <c r="J50" s="255"/>
      <c r="K50" s="255"/>
      <c r="L50" s="255"/>
      <c r="M50" s="255"/>
    </row>
    <row r="51" spans="1:14">
      <c r="A51" s="255"/>
      <c r="B51" s="284" t="s">
        <v>425</v>
      </c>
      <c r="C51" s="255"/>
      <c r="D51" s="255"/>
      <c r="E51" s="255"/>
      <c r="F51" s="255"/>
      <c r="G51" s="255"/>
      <c r="H51" s="255"/>
      <c r="I51" s="255"/>
      <c r="J51" s="255"/>
      <c r="K51" s="255"/>
      <c r="L51" s="255"/>
      <c r="M51" s="255"/>
    </row>
    <row r="52" spans="1:14">
      <c r="A52" s="255"/>
      <c r="B52" s="284" t="s">
        <v>426</v>
      </c>
      <c r="C52" s="255"/>
      <c r="D52" s="255"/>
      <c r="E52" s="255"/>
      <c r="F52" s="255"/>
      <c r="G52" s="255"/>
      <c r="H52" s="255"/>
      <c r="I52" s="255"/>
      <c r="J52" s="255"/>
      <c r="K52" s="255"/>
      <c r="L52" s="255"/>
      <c r="M52" s="255"/>
    </row>
    <row r="53" spans="1:14">
      <c r="A53" s="255"/>
      <c r="B53" s="284" t="s">
        <v>427</v>
      </c>
      <c r="C53" s="255"/>
      <c r="D53" s="255"/>
      <c r="E53" s="255"/>
      <c r="F53" s="255"/>
      <c r="G53" s="255"/>
      <c r="H53" s="255"/>
      <c r="I53" s="255"/>
      <c r="J53" s="255"/>
      <c r="K53" s="255"/>
      <c r="L53" s="255"/>
      <c r="M53" s="255"/>
    </row>
    <row r="54" spans="1:14">
      <c r="A54" s="255"/>
      <c r="B54" s="255"/>
      <c r="C54" s="255"/>
      <c r="D54" s="255"/>
      <c r="E54" s="255"/>
      <c r="F54" s="255"/>
      <c r="G54" s="255"/>
      <c r="H54" s="255"/>
      <c r="I54" s="255"/>
      <c r="J54" s="255"/>
      <c r="K54" s="255"/>
      <c r="L54" s="255"/>
      <c r="M54" s="276"/>
      <c r="N54" s="285"/>
    </row>
    <row r="55" spans="1:14" ht="45" customHeight="1">
      <c r="A55" s="255"/>
      <c r="B55" s="255"/>
      <c r="C55" s="277"/>
      <c r="D55" s="277" t="s">
        <v>428</v>
      </c>
      <c r="E55" s="286" t="s">
        <v>429</v>
      </c>
      <c r="F55" s="255"/>
      <c r="G55" s="255"/>
      <c r="H55" s="255"/>
      <c r="I55" s="255"/>
      <c r="J55" s="255"/>
      <c r="K55" s="255"/>
      <c r="L55" s="255"/>
      <c r="M55" s="255"/>
    </row>
    <row r="56" spans="1:14">
      <c r="A56" s="255"/>
      <c r="B56" s="255"/>
      <c r="C56" s="277" t="s">
        <v>430</v>
      </c>
      <c r="D56" s="287">
        <v>0.06</v>
      </c>
      <c r="E56" s="288">
        <v>0.2</v>
      </c>
      <c r="F56" s="255"/>
      <c r="G56" s="255"/>
      <c r="H56" s="255"/>
      <c r="I56" s="255"/>
      <c r="J56" s="255"/>
      <c r="K56" s="255"/>
      <c r="L56" s="255"/>
      <c r="M56" s="255"/>
    </row>
    <row r="57" spans="1:14">
      <c r="A57" s="255"/>
      <c r="B57" s="255"/>
      <c r="C57" s="277" t="s">
        <v>431</v>
      </c>
      <c r="D57" s="287">
        <v>0.02</v>
      </c>
      <c r="E57" s="288">
        <v>0.1</v>
      </c>
      <c r="F57" s="255"/>
      <c r="G57" s="255"/>
      <c r="H57" s="255"/>
      <c r="I57" s="255"/>
      <c r="J57" s="255"/>
      <c r="K57" s="255"/>
      <c r="L57" s="255"/>
      <c r="M57" s="255"/>
    </row>
    <row r="58" spans="1:14">
      <c r="A58" s="255"/>
      <c r="B58" s="255"/>
      <c r="C58" s="277" t="s">
        <v>432</v>
      </c>
      <c r="D58" s="287">
        <v>5.0000000000000001E-3</v>
      </c>
      <c r="E58" s="288">
        <v>0.1</v>
      </c>
      <c r="F58" s="255"/>
      <c r="G58" s="255"/>
      <c r="H58" s="255"/>
      <c r="I58" s="255"/>
      <c r="J58" s="255"/>
      <c r="K58" s="255"/>
      <c r="L58" s="255"/>
      <c r="M58" s="255"/>
    </row>
    <row r="59" spans="1:14">
      <c r="A59" s="255"/>
      <c r="B59" s="255"/>
      <c r="C59" s="255"/>
      <c r="D59" s="255"/>
      <c r="E59" s="255"/>
      <c r="F59" s="255"/>
      <c r="G59" s="255"/>
      <c r="H59" s="255"/>
      <c r="I59" s="255"/>
      <c r="J59" s="255"/>
      <c r="K59" s="255"/>
      <c r="L59" s="255"/>
      <c r="M59" s="255"/>
    </row>
    <row r="60" spans="1:14">
      <c r="A60" s="255"/>
      <c r="B60" s="255" t="s">
        <v>433</v>
      </c>
      <c r="C60" s="255"/>
      <c r="D60" s="255"/>
      <c r="E60" s="255"/>
      <c r="F60" s="255"/>
      <c r="G60" s="255"/>
      <c r="H60" s="255"/>
      <c r="I60" s="255"/>
      <c r="J60" s="255"/>
      <c r="K60" s="255"/>
      <c r="L60" s="255"/>
      <c r="M60" s="255"/>
    </row>
    <row r="62" spans="1:14">
      <c r="A62" s="256" t="s">
        <v>22</v>
      </c>
    </row>
  </sheetData>
  <mergeCells count="6">
    <mergeCell ref="C22:J22"/>
    <mergeCell ref="C12:D12"/>
    <mergeCell ref="C13:D13"/>
    <mergeCell ref="C14:D14"/>
    <mergeCell ref="C15:D15"/>
    <mergeCell ref="C17:J17"/>
  </mergeCells>
  <conditionalFormatting sqref="B24:C24">
    <cfRule type="expression" dxfId="2" priority="1">
      <formula>"isformula(B5)"</formula>
    </cfRule>
  </conditionalFormatting>
  <conditionalFormatting sqref="C18:J18">
    <cfRule type="expression" dxfId="1" priority="2">
      <formula>"isformula(B5)"</formula>
    </cfRule>
  </conditionalFormatting>
  <conditionalFormatting sqref="D23:J24 B25:J25">
    <cfRule type="expression" dxfId="0" priority="3">
      <formula>"isformula(B5)"</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E109-E1A2-4CD8-B53D-BE5CFED65CC4}">
  <sheetPr>
    <tabColor theme="6" tint="0.79998168889431442"/>
  </sheetPr>
  <dimension ref="A1:N41"/>
  <sheetViews>
    <sheetView workbookViewId="0">
      <selection activeCell="G14" sqref="G14"/>
    </sheetView>
  </sheetViews>
  <sheetFormatPr defaultColWidth="11.44140625" defaultRowHeight="13.2"/>
  <cols>
    <col min="1" max="1" width="49.88671875" customWidth="1"/>
    <col min="2" max="2" width="12.109375" customWidth="1"/>
    <col min="3" max="3" width="12.88671875" customWidth="1"/>
  </cols>
  <sheetData>
    <row r="1" spans="1:14" s="231" customFormat="1" ht="17.399999999999999">
      <c r="A1" s="229" t="s">
        <v>434</v>
      </c>
      <c r="B1" s="289"/>
      <c r="C1" s="289"/>
      <c r="D1" s="289"/>
      <c r="E1" s="289"/>
      <c r="F1" s="289"/>
      <c r="G1" s="289"/>
      <c r="H1" s="230"/>
      <c r="I1" s="230"/>
      <c r="J1" s="230"/>
      <c r="K1" s="230"/>
      <c r="L1" s="230"/>
      <c r="M1" s="230"/>
      <c r="N1" s="230"/>
    </row>
    <row r="2" spans="1:14" s="231" customFormat="1" ht="15.6">
      <c r="A2" s="232" t="s">
        <v>435</v>
      </c>
      <c r="B2" s="290"/>
      <c r="C2" s="290"/>
      <c r="D2" s="290"/>
      <c r="E2" s="290"/>
      <c r="F2" s="290"/>
      <c r="G2" s="290"/>
      <c r="H2" s="233"/>
      <c r="I2" s="233"/>
      <c r="J2" s="233"/>
      <c r="K2" s="230"/>
      <c r="L2" s="230"/>
      <c r="M2" s="230"/>
      <c r="N2" s="230"/>
    </row>
    <row r="3" spans="1:14" ht="15.6">
      <c r="A3" s="255"/>
      <c r="B3" s="255"/>
      <c r="C3" s="255"/>
      <c r="D3" s="255"/>
      <c r="E3" s="255"/>
      <c r="F3" s="255"/>
      <c r="G3" s="255"/>
      <c r="H3" s="291"/>
      <c r="I3" s="291"/>
      <c r="J3" s="291"/>
      <c r="K3" s="291"/>
      <c r="L3" s="291"/>
      <c r="M3" s="291"/>
      <c r="N3" s="291"/>
    </row>
    <row r="4" spans="1:14" ht="15.6">
      <c r="A4" s="283" t="s">
        <v>436</v>
      </c>
      <c r="B4" s="255"/>
      <c r="C4" s="255"/>
      <c r="D4" s="255"/>
      <c r="E4" s="255"/>
      <c r="F4" s="255"/>
      <c r="G4" s="255"/>
      <c r="H4" s="291"/>
      <c r="I4" s="291"/>
      <c r="J4" s="291"/>
      <c r="K4" s="291"/>
      <c r="L4" s="291"/>
      <c r="M4" s="291"/>
      <c r="N4" s="291"/>
    </row>
    <row r="5" spans="1:14" ht="16.2" thickBot="1">
      <c r="A5" s="283"/>
      <c r="B5" s="255"/>
      <c r="C5" s="255"/>
      <c r="D5" s="255"/>
      <c r="E5" s="255"/>
      <c r="F5" s="255"/>
      <c r="G5" s="255"/>
      <c r="H5" s="291"/>
      <c r="I5" s="291"/>
      <c r="J5" s="291"/>
      <c r="K5" s="291"/>
      <c r="L5" s="291"/>
      <c r="M5" s="291"/>
      <c r="N5" s="291"/>
    </row>
    <row r="6" spans="1:14" ht="16.2" thickBot="1">
      <c r="A6" s="292" t="s">
        <v>437</v>
      </c>
      <c r="B6" s="293" t="s">
        <v>105</v>
      </c>
      <c r="C6" s="255"/>
      <c r="D6" s="255"/>
      <c r="E6" s="255"/>
      <c r="F6" s="255"/>
      <c r="G6" s="255"/>
      <c r="H6" s="291"/>
      <c r="I6" s="291"/>
      <c r="J6" s="291"/>
      <c r="K6" s="291"/>
      <c r="L6" s="291"/>
      <c r="M6" s="291"/>
      <c r="N6" s="291"/>
    </row>
    <row r="7" spans="1:14" ht="16.2" thickBot="1">
      <c r="A7" s="294" t="s">
        <v>438</v>
      </c>
      <c r="B7" s="295">
        <v>400</v>
      </c>
      <c r="C7" s="255"/>
      <c r="D7" s="255"/>
      <c r="E7" s="255"/>
      <c r="F7" s="255"/>
      <c r="G7" s="255"/>
      <c r="H7" s="291"/>
      <c r="I7" s="291"/>
      <c r="J7" s="291"/>
      <c r="K7" s="291"/>
      <c r="L7" s="291"/>
      <c r="M7" s="291"/>
      <c r="N7" s="291"/>
    </row>
    <row r="8" spans="1:14" ht="16.2" thickBot="1">
      <c r="A8" s="294" t="s">
        <v>439</v>
      </c>
      <c r="B8" s="295">
        <v>50</v>
      </c>
      <c r="C8" s="255"/>
      <c r="D8" s="255"/>
      <c r="E8" s="255"/>
      <c r="F8" s="255"/>
      <c r="G8" s="255"/>
      <c r="H8" s="291"/>
      <c r="I8" s="291"/>
      <c r="J8" s="291"/>
      <c r="K8" s="291"/>
      <c r="L8" s="291"/>
      <c r="M8" s="291"/>
      <c r="N8" s="291"/>
    </row>
    <row r="9" spans="1:14" ht="16.2" thickBot="1">
      <c r="A9" s="294" t="s">
        <v>440</v>
      </c>
      <c r="B9" s="295">
        <v>40</v>
      </c>
      <c r="C9" s="255"/>
      <c r="D9" s="255"/>
      <c r="E9" s="255"/>
      <c r="F9" s="255"/>
      <c r="G9" s="255"/>
      <c r="H9" s="291"/>
      <c r="I9" s="291"/>
      <c r="J9" s="291"/>
      <c r="K9" s="291"/>
      <c r="L9" s="291"/>
      <c r="M9" s="291"/>
      <c r="N9" s="291"/>
    </row>
    <row r="10" spans="1:14" ht="16.2" thickBot="1">
      <c r="A10" s="294" t="s">
        <v>441</v>
      </c>
      <c r="B10" s="295">
        <v>150</v>
      </c>
      <c r="C10" s="255"/>
      <c r="D10" s="255"/>
      <c r="E10" s="255"/>
      <c r="F10" s="255"/>
      <c r="G10" s="255"/>
      <c r="H10" s="291"/>
      <c r="I10" s="291"/>
      <c r="J10" s="291"/>
      <c r="K10" s="291"/>
      <c r="L10" s="291"/>
      <c r="M10" s="291"/>
      <c r="N10" s="291"/>
    </row>
    <row r="11" spans="1:14" ht="16.2" thickBot="1">
      <c r="A11" s="294" t="s">
        <v>442</v>
      </c>
      <c r="B11" s="295">
        <v>15</v>
      </c>
      <c r="C11" s="255"/>
      <c r="D11" s="255"/>
      <c r="E11" s="255"/>
      <c r="F11" s="255"/>
      <c r="G11" s="255"/>
      <c r="H11" s="291"/>
      <c r="I11" s="291"/>
      <c r="J11" s="291"/>
      <c r="K11" s="291"/>
      <c r="L11" s="291"/>
      <c r="M11" s="291"/>
      <c r="N11" s="291"/>
    </row>
    <row r="12" spans="1:14" ht="16.2" thickBot="1">
      <c r="A12" s="294" t="s">
        <v>443</v>
      </c>
      <c r="B12" s="295">
        <v>30</v>
      </c>
      <c r="C12" s="255"/>
      <c r="D12" s="255"/>
      <c r="E12" s="255"/>
      <c r="F12" s="255"/>
      <c r="G12" s="255"/>
      <c r="H12" s="291"/>
      <c r="I12" s="291"/>
      <c r="J12" s="291"/>
      <c r="K12" s="291"/>
      <c r="L12" s="291"/>
      <c r="M12" s="291"/>
      <c r="N12" s="291"/>
    </row>
    <row r="13" spans="1:14" ht="16.2" thickBot="1">
      <c r="A13" s="294" t="s">
        <v>444</v>
      </c>
      <c r="B13" s="295">
        <v>45</v>
      </c>
      <c r="C13" s="255"/>
      <c r="D13" s="255"/>
      <c r="E13" s="255"/>
      <c r="F13" s="255"/>
      <c r="G13" s="255"/>
      <c r="H13" s="291"/>
      <c r="I13" s="291"/>
      <c r="J13" s="291"/>
      <c r="K13" s="291"/>
      <c r="L13" s="291"/>
      <c r="M13" s="291"/>
      <c r="N13" s="291"/>
    </row>
    <row r="14" spans="1:14" ht="16.2" thickBot="1">
      <c r="A14" s="294" t="s">
        <v>445</v>
      </c>
      <c r="B14" s="295">
        <v>20</v>
      </c>
      <c r="C14" s="255"/>
      <c r="D14" s="255"/>
      <c r="E14" s="255"/>
      <c r="F14" s="255"/>
      <c r="G14" s="255"/>
      <c r="H14" s="291"/>
      <c r="I14" s="291"/>
      <c r="J14" s="291"/>
      <c r="K14" s="291"/>
      <c r="L14" s="291"/>
      <c r="M14" s="291"/>
      <c r="N14" s="291"/>
    </row>
    <row r="15" spans="1:14" ht="16.2" thickBot="1">
      <c r="A15" s="294" t="s">
        <v>446</v>
      </c>
      <c r="B15" s="295">
        <v>5</v>
      </c>
      <c r="C15" s="255"/>
      <c r="D15" s="255"/>
      <c r="E15" s="255"/>
      <c r="F15" s="255"/>
      <c r="G15" s="255"/>
      <c r="H15" s="291"/>
      <c r="I15" s="291"/>
      <c r="J15" s="291"/>
      <c r="K15" s="291"/>
      <c r="L15" s="291"/>
      <c r="M15" s="291"/>
      <c r="N15" s="291"/>
    </row>
    <row r="16" spans="1:14" ht="16.2" thickBot="1">
      <c r="A16" s="283"/>
      <c r="B16" s="255"/>
      <c r="C16" s="255"/>
      <c r="D16" s="255"/>
      <c r="E16" s="255"/>
      <c r="F16" s="255"/>
      <c r="G16" s="255"/>
      <c r="H16" s="291"/>
      <c r="I16" s="291"/>
      <c r="J16" s="291"/>
      <c r="K16" s="291"/>
      <c r="L16" s="291"/>
      <c r="M16" s="291"/>
      <c r="N16" s="291"/>
    </row>
    <row r="17" spans="1:14" ht="31.8" thickBot="1">
      <c r="A17" s="292" t="s">
        <v>447</v>
      </c>
      <c r="B17" s="296" t="s">
        <v>448</v>
      </c>
      <c r="C17" s="296" t="s">
        <v>449</v>
      </c>
      <c r="D17" s="255"/>
      <c r="E17" s="255"/>
      <c r="F17" s="255"/>
      <c r="G17" s="255"/>
      <c r="H17" s="291"/>
      <c r="I17" s="291"/>
      <c r="J17" s="291"/>
      <c r="K17" s="291"/>
      <c r="L17" s="291"/>
      <c r="M17" s="291"/>
      <c r="N17" s="291"/>
    </row>
    <row r="18" spans="1:14" ht="16.2" thickBot="1">
      <c r="A18" s="294" t="s">
        <v>450</v>
      </c>
      <c r="B18" s="295">
        <v>140</v>
      </c>
      <c r="C18" s="295">
        <v>100</v>
      </c>
      <c r="D18" s="255"/>
      <c r="E18" s="255"/>
      <c r="F18" s="255"/>
      <c r="G18" s="255"/>
      <c r="H18" s="291"/>
      <c r="I18" s="291"/>
      <c r="J18" s="291"/>
      <c r="K18" s="291"/>
      <c r="L18" s="291"/>
      <c r="M18" s="291"/>
      <c r="N18" s="291"/>
    </row>
    <row r="19" spans="1:14" ht="16.2" thickBot="1">
      <c r="A19" s="294" t="s">
        <v>451</v>
      </c>
      <c r="B19" s="295">
        <v>180</v>
      </c>
      <c r="C19" s="295">
        <v>130</v>
      </c>
      <c r="D19" s="255"/>
      <c r="E19" s="255"/>
      <c r="F19" s="255"/>
      <c r="G19" s="255"/>
      <c r="H19" s="291"/>
      <c r="I19" s="291"/>
      <c r="J19" s="291"/>
      <c r="K19" s="291"/>
      <c r="L19" s="291"/>
      <c r="M19" s="291"/>
      <c r="N19" s="291"/>
    </row>
    <row r="20" spans="1:14" ht="16.2" thickBot="1">
      <c r="A20" s="283"/>
      <c r="B20" s="255"/>
      <c r="C20" s="255"/>
      <c r="D20" s="255"/>
      <c r="E20" s="255"/>
      <c r="F20" s="255"/>
      <c r="G20" s="255"/>
      <c r="H20" s="291"/>
      <c r="I20" s="291"/>
      <c r="J20" s="291"/>
      <c r="K20" s="291"/>
      <c r="L20" s="291"/>
      <c r="M20" s="291"/>
      <c r="N20" s="291"/>
    </row>
    <row r="21" spans="1:14" ht="16.2" thickBot="1">
      <c r="A21" s="292" t="s">
        <v>452</v>
      </c>
      <c r="B21" s="297"/>
      <c r="C21" s="255"/>
      <c r="D21" s="255"/>
      <c r="E21" s="255"/>
      <c r="F21" s="255"/>
      <c r="G21" s="255"/>
      <c r="H21" s="291"/>
      <c r="I21" s="291"/>
      <c r="J21" s="291"/>
      <c r="K21" s="291"/>
      <c r="L21" s="291"/>
      <c r="M21" s="291"/>
      <c r="N21" s="291"/>
    </row>
    <row r="22" spans="1:14" ht="16.2" thickBot="1">
      <c r="A22" s="294" t="s">
        <v>453</v>
      </c>
      <c r="B22" s="295">
        <v>10</v>
      </c>
      <c r="C22" s="255"/>
      <c r="D22" s="255"/>
      <c r="E22" s="255"/>
      <c r="F22" s="255"/>
      <c r="G22" s="255"/>
      <c r="H22" s="291"/>
      <c r="I22" s="291"/>
      <c r="J22" s="291"/>
      <c r="K22" s="291"/>
      <c r="L22" s="291"/>
      <c r="M22" s="291"/>
      <c r="N22" s="291"/>
    </row>
    <row r="23" spans="1:14" ht="16.2" thickBot="1">
      <c r="A23" s="294" t="s">
        <v>454</v>
      </c>
      <c r="B23" s="295">
        <v>30</v>
      </c>
      <c r="C23" s="255"/>
      <c r="D23" s="255"/>
      <c r="E23" s="255"/>
      <c r="F23" s="255"/>
      <c r="G23" s="255"/>
      <c r="H23" s="291"/>
      <c r="I23" s="291"/>
      <c r="J23" s="291"/>
      <c r="K23" s="291"/>
      <c r="L23" s="291"/>
      <c r="M23" s="291"/>
      <c r="N23" s="291"/>
    </row>
    <row r="24" spans="1:14" ht="16.2" thickBot="1">
      <c r="A24" s="283"/>
      <c r="B24" s="255"/>
      <c r="C24" s="255"/>
      <c r="D24" s="255"/>
      <c r="E24" s="255"/>
      <c r="F24" s="255"/>
      <c r="G24" s="255"/>
      <c r="H24" s="291"/>
      <c r="I24" s="291"/>
      <c r="J24" s="291"/>
      <c r="K24" s="291"/>
      <c r="L24" s="291"/>
      <c r="M24" s="291"/>
      <c r="N24" s="291"/>
    </row>
    <row r="25" spans="1:14" ht="16.2" thickBot="1">
      <c r="A25" s="298" t="s">
        <v>455</v>
      </c>
      <c r="B25" s="297">
        <v>2</v>
      </c>
      <c r="C25" s="255"/>
      <c r="D25" s="255"/>
      <c r="E25" s="255"/>
      <c r="F25" s="255"/>
      <c r="G25" s="255"/>
      <c r="H25" s="291"/>
      <c r="I25" s="291"/>
      <c r="J25" s="291"/>
      <c r="K25" s="291"/>
      <c r="L25" s="291"/>
      <c r="M25" s="291"/>
      <c r="N25" s="291"/>
    </row>
    <row r="26" spans="1:14" ht="16.2" thickBot="1">
      <c r="A26" s="294" t="s">
        <v>456</v>
      </c>
      <c r="B26" s="299">
        <v>0.04</v>
      </c>
      <c r="C26" s="255"/>
      <c r="D26" s="255"/>
      <c r="E26" s="255"/>
      <c r="F26" s="255"/>
      <c r="G26" s="255"/>
      <c r="H26" s="291"/>
      <c r="I26" s="291"/>
      <c r="J26" s="291"/>
      <c r="K26" s="291"/>
      <c r="L26" s="291"/>
      <c r="M26" s="291"/>
      <c r="N26" s="291"/>
    </row>
    <row r="27" spans="1:14" ht="16.2" thickBot="1">
      <c r="A27" s="294" t="s">
        <v>457</v>
      </c>
      <c r="B27" s="299">
        <v>0.03</v>
      </c>
      <c r="C27" s="255"/>
      <c r="D27" s="255"/>
      <c r="E27" s="255"/>
      <c r="F27" s="255"/>
      <c r="G27" s="255"/>
      <c r="H27" s="291"/>
      <c r="I27" s="291"/>
      <c r="J27" s="291"/>
      <c r="K27" s="291"/>
      <c r="L27" s="291"/>
      <c r="M27" s="291"/>
      <c r="N27" s="291"/>
    </row>
    <row r="28" spans="1:14" ht="16.2" thickBot="1">
      <c r="A28" s="294" t="s">
        <v>458</v>
      </c>
      <c r="B28" s="300">
        <v>2.5000000000000001E-2</v>
      </c>
      <c r="C28" s="255"/>
      <c r="D28" s="255"/>
      <c r="E28" s="255"/>
      <c r="F28" s="255"/>
      <c r="G28" s="255"/>
      <c r="H28" s="291"/>
      <c r="I28" s="291"/>
      <c r="J28" s="291"/>
      <c r="K28" s="291"/>
      <c r="L28" s="291"/>
      <c r="M28" s="291"/>
      <c r="N28" s="291"/>
    </row>
    <row r="29" spans="1:14" ht="16.2" thickBot="1">
      <c r="A29" s="294" t="s">
        <v>459</v>
      </c>
      <c r="B29" s="299">
        <v>0.2</v>
      </c>
      <c r="C29" s="255"/>
      <c r="D29" s="255"/>
      <c r="E29" s="255"/>
      <c r="F29" s="255"/>
      <c r="G29" s="255"/>
      <c r="H29" s="291"/>
      <c r="I29" s="291"/>
      <c r="J29" s="291"/>
      <c r="K29" s="291"/>
      <c r="L29" s="291"/>
      <c r="M29" s="291"/>
      <c r="N29" s="291"/>
    </row>
    <row r="30" spans="1:14" ht="15.6">
      <c r="A30" s="283"/>
      <c r="B30" s="255"/>
      <c r="C30" s="255"/>
      <c r="D30" s="255"/>
      <c r="E30" s="255"/>
      <c r="F30" s="255"/>
      <c r="G30" s="255"/>
      <c r="H30" s="291"/>
      <c r="I30" s="291"/>
      <c r="J30" s="291"/>
      <c r="K30" s="291"/>
      <c r="L30" s="291"/>
      <c r="M30" s="291"/>
      <c r="N30" s="291"/>
    </row>
    <row r="31" spans="1:14" ht="15.6">
      <c r="A31" s="255"/>
      <c r="B31" s="283" t="s">
        <v>460</v>
      </c>
      <c r="C31" s="255"/>
      <c r="D31" s="255"/>
      <c r="E31" s="255"/>
      <c r="F31" s="255"/>
      <c r="G31" s="255"/>
      <c r="H31" s="291"/>
      <c r="I31" s="291"/>
      <c r="J31" s="291"/>
      <c r="K31" s="291"/>
      <c r="L31" s="291"/>
      <c r="M31" s="291"/>
      <c r="N31" s="291"/>
    </row>
    <row r="32" spans="1:14" ht="15.6">
      <c r="A32" s="255"/>
      <c r="B32" s="283"/>
      <c r="C32" s="255"/>
      <c r="D32" s="255"/>
      <c r="E32" s="255"/>
      <c r="F32" s="255"/>
      <c r="G32" s="255"/>
      <c r="H32" s="291"/>
      <c r="I32" s="291"/>
      <c r="J32" s="291"/>
      <c r="K32" s="291"/>
      <c r="L32" s="291"/>
      <c r="M32" s="291"/>
      <c r="N32" s="291"/>
    </row>
    <row r="33" spans="1:14" ht="15.6">
      <c r="A33" s="301" t="s">
        <v>461</v>
      </c>
      <c r="B33" s="283" t="s">
        <v>462</v>
      </c>
      <c r="C33" s="255"/>
      <c r="D33" s="255"/>
      <c r="E33" s="255"/>
      <c r="F33" s="255"/>
      <c r="G33" s="255"/>
      <c r="H33" s="291"/>
      <c r="I33" s="291"/>
      <c r="J33" s="291"/>
      <c r="K33" s="291"/>
      <c r="L33" s="291"/>
      <c r="M33" s="291"/>
      <c r="N33" s="291"/>
    </row>
    <row r="34" spans="1:14" ht="15.6">
      <c r="A34" s="301" t="s">
        <v>463</v>
      </c>
      <c r="B34" s="283" t="s">
        <v>464</v>
      </c>
      <c r="C34" s="255"/>
      <c r="D34" s="255"/>
      <c r="E34" s="255"/>
      <c r="F34" s="255"/>
      <c r="G34" s="255"/>
      <c r="H34" s="291"/>
      <c r="I34" s="291"/>
      <c r="J34" s="291"/>
      <c r="K34" s="291"/>
      <c r="L34" s="291"/>
      <c r="M34" s="291"/>
      <c r="N34" s="291"/>
    </row>
    <row r="35" spans="1:14" ht="15.6">
      <c r="A35" s="301" t="s">
        <v>465</v>
      </c>
      <c r="B35" s="283" t="s">
        <v>466</v>
      </c>
      <c r="C35" s="255"/>
      <c r="D35" s="255"/>
      <c r="E35" s="255"/>
      <c r="F35" s="255"/>
      <c r="G35" s="255"/>
      <c r="H35" s="291"/>
      <c r="I35" s="291"/>
      <c r="J35" s="291"/>
      <c r="K35" s="291"/>
      <c r="L35" s="291"/>
      <c r="M35" s="291"/>
      <c r="N35" s="291"/>
    </row>
    <row r="36" spans="1:14" ht="15.6">
      <c r="A36" s="301"/>
      <c r="B36" s="301"/>
      <c r="C36" s="255"/>
      <c r="D36" s="255"/>
      <c r="E36" s="255"/>
      <c r="F36" s="255"/>
      <c r="G36" s="255"/>
      <c r="H36" s="291"/>
      <c r="I36" s="291"/>
      <c r="J36" s="291"/>
      <c r="K36" s="291"/>
      <c r="L36" s="291"/>
      <c r="M36" s="291"/>
      <c r="N36" s="291"/>
    </row>
    <row r="37" spans="1:14" ht="15.6">
      <c r="A37" s="283" t="s">
        <v>467</v>
      </c>
      <c r="B37" s="255"/>
      <c r="C37" s="255"/>
      <c r="D37" s="255"/>
      <c r="E37" s="255"/>
      <c r="F37" s="255"/>
      <c r="G37" s="255"/>
      <c r="H37" s="291"/>
      <c r="I37" s="291"/>
      <c r="J37" s="291"/>
      <c r="K37" s="291"/>
      <c r="L37" s="291"/>
      <c r="M37" s="291"/>
      <c r="N37" s="291"/>
    </row>
    <row r="38" spans="1:14" ht="15.6">
      <c r="A38" s="256"/>
      <c r="B38" s="256"/>
      <c r="C38" s="256"/>
      <c r="D38" s="256"/>
      <c r="E38" s="256"/>
      <c r="F38" s="256"/>
      <c r="G38" s="256"/>
    </row>
    <row r="39" spans="1:14" ht="15.6">
      <c r="A39" s="302" t="s">
        <v>22</v>
      </c>
      <c r="B39" s="256"/>
      <c r="C39" s="256"/>
      <c r="D39" s="256"/>
      <c r="E39" s="256"/>
      <c r="F39" s="256"/>
      <c r="G39" s="256"/>
    </row>
    <row r="40" spans="1:14" ht="15.6">
      <c r="A40" s="256"/>
      <c r="B40" s="256"/>
      <c r="C40" s="256"/>
      <c r="D40" s="256"/>
      <c r="E40" s="256"/>
      <c r="F40" s="256"/>
      <c r="G40" s="256"/>
    </row>
    <row r="41" spans="1:14" ht="15.6">
      <c r="A41" s="256"/>
      <c r="B41" s="256"/>
      <c r="C41" s="256"/>
      <c r="D41" s="256"/>
      <c r="E41" s="256"/>
      <c r="F41" s="256"/>
      <c r="G41" s="2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8F96-3D69-4547-AA0D-C5D021BC7F81}">
  <sheetPr codeName="Sheet1">
    <tabColor theme="4" tint="-0.499984740745262"/>
  </sheetPr>
  <dimension ref="A1:B6"/>
  <sheetViews>
    <sheetView workbookViewId="0">
      <selection activeCell="F14" sqref="F14"/>
    </sheetView>
  </sheetViews>
  <sheetFormatPr defaultRowHeight="13.2"/>
  <sheetData>
    <row r="1" spans="1:2">
      <c r="A1" s="1" t="s">
        <v>135</v>
      </c>
    </row>
    <row r="2" spans="1:2">
      <c r="A2" s="1"/>
    </row>
    <row r="3" spans="1:2">
      <c r="A3" s="2" t="s">
        <v>136</v>
      </c>
    </row>
    <row r="6" spans="1:2">
      <c r="A6" s="26"/>
      <c r="B6" s="2" t="s">
        <v>134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C90F-A1E0-474C-ABC0-2BD7D6F64DE6}">
  <sheetPr>
    <tabColor theme="6" tint="0.79998168889431442"/>
  </sheetPr>
  <dimension ref="A1:P38"/>
  <sheetViews>
    <sheetView workbookViewId="0">
      <selection activeCell="G14" sqref="G14"/>
    </sheetView>
  </sheetViews>
  <sheetFormatPr defaultColWidth="11.44140625" defaultRowHeight="13.2"/>
  <cols>
    <col min="4" max="4" width="27.33203125" customWidth="1"/>
  </cols>
  <sheetData>
    <row r="1" spans="1:16" s="256" customFormat="1" ht="17.399999999999999">
      <c r="A1" s="229" t="s">
        <v>468</v>
      </c>
      <c r="B1" s="255"/>
      <c r="C1" s="255"/>
      <c r="D1" s="255"/>
      <c r="E1" s="255"/>
      <c r="F1" s="255"/>
      <c r="G1" s="255"/>
      <c r="H1" s="255"/>
      <c r="I1" s="255"/>
      <c r="J1" s="255"/>
      <c r="K1" s="255"/>
      <c r="L1" s="255"/>
      <c r="M1" s="255"/>
      <c r="N1" s="255"/>
      <c r="O1" s="255"/>
      <c r="P1" s="255"/>
    </row>
    <row r="2" spans="1:16" s="256" customFormat="1" ht="15.6">
      <c r="A2" s="232" t="s">
        <v>469</v>
      </c>
      <c r="B2" s="255"/>
      <c r="C2" s="255"/>
      <c r="D2" s="255"/>
      <c r="E2" s="255"/>
      <c r="F2" s="255"/>
      <c r="G2" s="255"/>
      <c r="H2" s="255"/>
      <c r="I2" s="255"/>
      <c r="J2" s="255"/>
      <c r="K2" s="255"/>
      <c r="L2" s="255"/>
      <c r="M2" s="255"/>
      <c r="N2" s="255"/>
      <c r="O2" s="255"/>
      <c r="P2" s="255"/>
    </row>
    <row r="3" spans="1:16" s="256" customFormat="1" ht="15.6">
      <c r="A3" s="232" t="s">
        <v>470</v>
      </c>
      <c r="B3" s="255"/>
      <c r="C3" s="255"/>
      <c r="D3" s="255"/>
      <c r="E3" s="255"/>
      <c r="F3" s="255"/>
      <c r="G3" s="255"/>
      <c r="H3" s="255"/>
      <c r="I3" s="255"/>
      <c r="J3" s="255"/>
      <c r="K3" s="255"/>
      <c r="L3" s="255"/>
      <c r="M3" s="255"/>
      <c r="N3" s="255"/>
      <c r="O3" s="255"/>
      <c r="P3" s="255"/>
    </row>
    <row r="4" spans="1:16">
      <c r="A4" s="303"/>
      <c r="B4" s="303"/>
      <c r="C4" s="303"/>
      <c r="D4" s="303"/>
      <c r="E4" s="303"/>
      <c r="F4" s="303"/>
      <c r="G4" s="303"/>
      <c r="H4" s="303"/>
      <c r="I4" s="303"/>
      <c r="J4" s="303"/>
      <c r="K4" s="291"/>
      <c r="L4" s="291"/>
      <c r="M4" s="291"/>
      <c r="N4" s="291"/>
      <c r="O4" s="291"/>
      <c r="P4" s="291"/>
    </row>
    <row r="5" spans="1:16" ht="15.6">
      <c r="A5" s="283" t="s">
        <v>471</v>
      </c>
      <c r="B5" s="303"/>
      <c r="C5" s="303"/>
      <c r="D5" s="303"/>
      <c r="E5" s="303"/>
      <c r="F5" s="303"/>
      <c r="G5" s="303"/>
      <c r="H5" s="303"/>
      <c r="I5" s="303"/>
      <c r="J5" s="303"/>
      <c r="K5" s="291"/>
      <c r="L5" s="291"/>
      <c r="M5" s="291"/>
      <c r="N5" s="291"/>
      <c r="O5" s="291"/>
      <c r="P5" s="291"/>
    </row>
    <row r="6" spans="1:16">
      <c r="A6" s="303"/>
      <c r="B6" s="303"/>
      <c r="C6" s="303"/>
      <c r="D6" s="303"/>
      <c r="E6" s="303"/>
      <c r="F6" s="303"/>
      <c r="G6" s="303"/>
      <c r="H6" s="303"/>
      <c r="I6" s="303"/>
      <c r="J6" s="303"/>
      <c r="K6" s="291"/>
      <c r="L6" s="291"/>
      <c r="M6" s="291"/>
      <c r="N6" s="291"/>
      <c r="O6" s="291"/>
      <c r="P6" s="291"/>
    </row>
    <row r="7" spans="1:16">
      <c r="A7" s="303"/>
      <c r="B7" s="303"/>
      <c r="C7" s="303"/>
      <c r="D7" s="303"/>
      <c r="E7" s="303"/>
      <c r="F7" s="303"/>
      <c r="G7" s="303"/>
      <c r="H7" s="303"/>
      <c r="I7" s="303"/>
      <c r="J7" s="303"/>
      <c r="K7" s="291"/>
      <c r="L7" s="291"/>
      <c r="M7" s="291"/>
      <c r="N7" s="291"/>
      <c r="O7" s="291"/>
      <c r="P7" s="291"/>
    </row>
    <row r="8" spans="1:16" ht="15.6">
      <c r="A8" s="304" t="s">
        <v>472</v>
      </c>
      <c r="B8" s="303"/>
      <c r="C8" s="303"/>
      <c r="D8" s="303"/>
      <c r="E8" s="303"/>
      <c r="F8" s="303"/>
      <c r="G8" s="303"/>
      <c r="H8" s="303"/>
      <c r="I8" s="303"/>
      <c r="J8" s="303"/>
      <c r="K8" s="291"/>
      <c r="L8" s="291"/>
      <c r="M8" s="291"/>
      <c r="N8" s="291"/>
      <c r="O8" s="291"/>
      <c r="P8" s="291"/>
    </row>
    <row r="9" spans="1:16" ht="16.2" thickBot="1">
      <c r="A9" s="304"/>
      <c r="B9" s="303"/>
      <c r="C9" s="303"/>
      <c r="D9" s="303"/>
      <c r="E9" s="303"/>
      <c r="F9" s="303"/>
      <c r="G9" s="303"/>
      <c r="H9" s="303"/>
      <c r="I9" s="303"/>
      <c r="J9" s="303"/>
      <c r="K9" s="291"/>
      <c r="L9" s="291"/>
      <c r="M9" s="291"/>
      <c r="N9" s="291"/>
      <c r="O9" s="291"/>
      <c r="P9" s="291"/>
    </row>
    <row r="10" spans="1:16" ht="14.4" thickBot="1">
      <c r="A10" s="303"/>
      <c r="B10" s="303"/>
      <c r="C10" s="303"/>
      <c r="D10" s="305"/>
      <c r="E10" s="306" t="s">
        <v>473</v>
      </c>
      <c r="F10" s="307" t="s">
        <v>474</v>
      </c>
      <c r="G10" s="307" t="s">
        <v>475</v>
      </c>
      <c r="H10" s="307" t="s">
        <v>476</v>
      </c>
      <c r="I10" s="307" t="s">
        <v>477</v>
      </c>
      <c r="J10" s="303"/>
      <c r="K10" s="291"/>
      <c r="L10" s="291"/>
      <c r="M10" s="291"/>
      <c r="N10" s="291"/>
      <c r="O10" s="291"/>
      <c r="P10" s="291"/>
    </row>
    <row r="11" spans="1:16" ht="28.2" thickBot="1">
      <c r="A11" s="303"/>
      <c r="B11" s="303"/>
      <c r="C11" s="303"/>
      <c r="D11" s="308" t="s">
        <v>478</v>
      </c>
      <c r="E11" s="309" t="s">
        <v>479</v>
      </c>
      <c r="F11" s="310">
        <v>100</v>
      </c>
      <c r="G11" s="310">
        <v>50</v>
      </c>
      <c r="H11" s="310">
        <v>20</v>
      </c>
      <c r="I11" s="310">
        <v>5</v>
      </c>
      <c r="J11" s="303"/>
      <c r="K11" s="291"/>
      <c r="L11" s="291"/>
      <c r="M11" s="291"/>
      <c r="N11" s="291"/>
      <c r="O11" s="291"/>
      <c r="P11" s="291"/>
    </row>
    <row r="12" spans="1:16" ht="28.2" thickBot="1">
      <c r="A12" s="303"/>
      <c r="B12" s="303"/>
      <c r="C12" s="303"/>
      <c r="D12" s="308" t="s">
        <v>480</v>
      </c>
      <c r="E12" s="309" t="s">
        <v>481</v>
      </c>
      <c r="F12" s="310">
        <v>75</v>
      </c>
      <c r="G12" s="310">
        <v>25</v>
      </c>
      <c r="H12" s="310">
        <v>10</v>
      </c>
      <c r="I12" s="310">
        <v>5</v>
      </c>
      <c r="J12" s="303"/>
      <c r="K12" s="291"/>
      <c r="L12" s="291"/>
      <c r="M12" s="291"/>
      <c r="N12" s="291"/>
      <c r="O12" s="291"/>
      <c r="P12" s="291"/>
    </row>
    <row r="13" spans="1:16" ht="14.4" thickBot="1">
      <c r="A13" s="303"/>
      <c r="B13" s="303"/>
      <c r="C13" s="303"/>
      <c r="D13" s="308" t="s">
        <v>482</v>
      </c>
      <c r="E13" s="309"/>
      <c r="F13" s="310">
        <v>175</v>
      </c>
      <c r="G13" s="310">
        <v>75</v>
      </c>
      <c r="H13" s="310">
        <v>30</v>
      </c>
      <c r="I13" s="310">
        <v>10</v>
      </c>
      <c r="J13" s="303"/>
      <c r="K13" s="291"/>
      <c r="L13" s="291"/>
      <c r="M13" s="291"/>
      <c r="N13" s="291"/>
      <c r="O13" s="291"/>
      <c r="P13" s="291"/>
    </row>
    <row r="14" spans="1:16" ht="15.6">
      <c r="A14" s="283" t="s">
        <v>0</v>
      </c>
      <c r="B14" s="303"/>
      <c r="C14" s="303"/>
      <c r="D14" s="303"/>
      <c r="E14" s="303"/>
      <c r="F14" s="303"/>
      <c r="G14" s="303"/>
      <c r="H14" s="303"/>
      <c r="I14" s="303"/>
      <c r="J14" s="303"/>
      <c r="K14" s="291"/>
      <c r="L14" s="291"/>
      <c r="M14" s="291"/>
      <c r="N14" s="291"/>
      <c r="O14" s="291"/>
      <c r="P14" s="291"/>
    </row>
    <row r="15" spans="1:16">
      <c r="A15" s="303"/>
      <c r="B15" s="303"/>
      <c r="C15" s="303"/>
      <c r="D15" s="303"/>
      <c r="E15" s="303"/>
      <c r="F15" s="303"/>
      <c r="G15" s="303"/>
      <c r="H15" s="303"/>
      <c r="I15" s="303"/>
      <c r="J15" s="303"/>
      <c r="K15" s="291"/>
      <c r="L15" s="291"/>
      <c r="M15" s="291"/>
      <c r="N15" s="291"/>
      <c r="O15" s="291"/>
      <c r="P15" s="291"/>
    </row>
    <row r="16" spans="1:16" ht="15.6">
      <c r="A16" s="311" t="s">
        <v>483</v>
      </c>
      <c r="B16" s="303"/>
      <c r="C16" s="303"/>
      <c r="D16" s="303"/>
      <c r="E16" s="303"/>
      <c r="F16" s="303"/>
      <c r="G16" s="303"/>
      <c r="H16" s="303"/>
      <c r="I16" s="303"/>
      <c r="J16" s="303"/>
      <c r="K16" s="291"/>
      <c r="L16" s="291"/>
      <c r="M16" s="291"/>
      <c r="N16" s="291"/>
      <c r="O16" s="291"/>
      <c r="P16" s="291"/>
    </row>
    <row r="18" spans="1:16">
      <c r="A18" s="2" t="s">
        <v>22</v>
      </c>
    </row>
    <row r="19" spans="1:16">
      <c r="A19" s="2"/>
    </row>
    <row r="20" spans="1:16">
      <c r="A20" s="2"/>
    </row>
    <row r="21" spans="1:16">
      <c r="A21" s="2"/>
    </row>
    <row r="22" spans="1:16">
      <c r="A22" s="2"/>
    </row>
    <row r="23" spans="1:16">
      <c r="A23" s="2"/>
    </row>
    <row r="24" spans="1:16">
      <c r="A24" s="2"/>
    </row>
    <row r="25" spans="1:16">
      <c r="A25" s="2"/>
    </row>
    <row r="27" spans="1:16" ht="15.6">
      <c r="A27" s="304" t="s">
        <v>484</v>
      </c>
      <c r="B27" s="291"/>
      <c r="C27" s="291"/>
      <c r="D27" s="291"/>
      <c r="E27" s="291"/>
      <c r="F27" s="291"/>
      <c r="G27" s="291"/>
      <c r="H27" s="291"/>
      <c r="I27" s="291"/>
      <c r="J27" s="291"/>
      <c r="K27" s="291"/>
      <c r="L27" s="291"/>
      <c r="M27" s="291"/>
      <c r="N27" s="291"/>
      <c r="O27" s="291"/>
      <c r="P27" s="291"/>
    </row>
    <row r="28" spans="1:16" ht="16.2" thickBot="1">
      <c r="A28" s="291"/>
      <c r="B28" s="291"/>
      <c r="C28" s="291"/>
      <c r="D28" s="255"/>
      <c r="E28" s="291"/>
      <c r="F28" s="291"/>
      <c r="G28" s="291"/>
      <c r="H28" s="291"/>
      <c r="I28" s="291"/>
      <c r="J28" s="291"/>
      <c r="K28" s="291"/>
      <c r="L28" s="291"/>
      <c r="M28" s="291"/>
      <c r="N28" s="291"/>
      <c r="O28" s="291"/>
      <c r="P28" s="291"/>
    </row>
    <row r="29" spans="1:16" ht="16.2" thickBot="1">
      <c r="A29" s="291"/>
      <c r="B29" s="291"/>
      <c r="C29" s="291"/>
      <c r="D29" s="298"/>
      <c r="E29" s="296" t="s">
        <v>485</v>
      </c>
      <c r="F29" s="296" t="s">
        <v>486</v>
      </c>
      <c r="G29" s="296" t="s">
        <v>487</v>
      </c>
      <c r="H29" s="296" t="s">
        <v>488</v>
      </c>
      <c r="I29" s="296" t="s">
        <v>489</v>
      </c>
      <c r="J29" s="291"/>
      <c r="K29" s="291"/>
      <c r="L29" s="291"/>
      <c r="M29" s="291"/>
      <c r="N29" s="291"/>
      <c r="O29" s="291"/>
      <c r="P29" s="291"/>
    </row>
    <row r="30" spans="1:16" ht="16.2" thickBot="1">
      <c r="A30" s="291"/>
      <c r="B30" s="291"/>
      <c r="C30" s="291"/>
      <c r="D30" s="294" t="s">
        <v>490</v>
      </c>
      <c r="E30" s="312">
        <v>10</v>
      </c>
      <c r="F30" s="312">
        <v>10.199999999999999</v>
      </c>
      <c r="G30" s="312">
        <v>9.8000000000000007</v>
      </c>
      <c r="H30" s="312">
        <v>9.9</v>
      </c>
      <c r="I30" s="312">
        <v>9.6999999999999993</v>
      </c>
      <c r="J30" s="291"/>
      <c r="K30" s="291"/>
      <c r="L30" s="291"/>
      <c r="M30" s="291"/>
      <c r="N30" s="291"/>
      <c r="O30" s="291"/>
      <c r="P30" s="291"/>
    </row>
    <row r="31" spans="1:16" ht="78.599999999999994" thickBot="1">
      <c r="A31" s="291"/>
      <c r="B31" s="291"/>
      <c r="C31" s="291"/>
      <c r="D31" s="294" t="s">
        <v>491</v>
      </c>
      <c r="E31" s="312">
        <v>0.7</v>
      </c>
      <c r="F31" s="312">
        <v>0.72</v>
      </c>
      <c r="G31" s="312">
        <v>0.69</v>
      </c>
      <c r="H31" s="312">
        <v>0.56999999999999995</v>
      </c>
      <c r="I31" s="312">
        <v>0.82</v>
      </c>
      <c r="J31" s="291"/>
      <c r="K31" s="291"/>
      <c r="L31" s="291"/>
      <c r="M31" s="291"/>
      <c r="N31" s="291"/>
      <c r="O31" s="291"/>
      <c r="P31" s="291"/>
    </row>
    <row r="32" spans="1:16" ht="31.8" thickBot="1">
      <c r="A32" s="291"/>
      <c r="B32" s="291"/>
      <c r="C32" s="291"/>
      <c r="D32" s="294" t="s">
        <v>492</v>
      </c>
      <c r="E32" s="312">
        <v>3.2</v>
      </c>
      <c r="F32" s="312">
        <v>3.4</v>
      </c>
      <c r="G32" s="312">
        <v>3.6</v>
      </c>
      <c r="H32" s="312">
        <v>3.9</v>
      </c>
      <c r="I32" s="312">
        <v>3.1</v>
      </c>
      <c r="J32" s="291"/>
      <c r="K32" s="291"/>
      <c r="L32" s="291"/>
      <c r="M32" s="291"/>
      <c r="N32" s="291"/>
      <c r="O32" s="291"/>
      <c r="P32" s="291"/>
    </row>
    <row r="33" spans="1:16" ht="47.4" thickBot="1">
      <c r="A33" s="291"/>
      <c r="B33" s="291"/>
      <c r="C33" s="291"/>
      <c r="D33" s="294" t="s">
        <v>493</v>
      </c>
      <c r="E33" s="312">
        <v>3.8</v>
      </c>
      <c r="F33" s="312">
        <v>3.4</v>
      </c>
      <c r="G33" s="312">
        <v>3.1</v>
      </c>
      <c r="H33" s="312">
        <v>3.7</v>
      </c>
      <c r="I33" s="312">
        <v>3.9</v>
      </c>
      <c r="J33" s="291"/>
      <c r="K33" s="291"/>
      <c r="L33" s="291"/>
      <c r="M33" s="291"/>
      <c r="N33" s="291"/>
      <c r="O33" s="291"/>
      <c r="P33" s="291"/>
    </row>
    <row r="34" spans="1:16" ht="15.6">
      <c r="A34" s="291"/>
      <c r="B34" s="291"/>
      <c r="C34" s="291"/>
      <c r="D34" s="304"/>
      <c r="E34" s="291"/>
      <c r="F34" s="291"/>
      <c r="G34" s="291"/>
      <c r="H34" s="291"/>
      <c r="I34" s="291"/>
      <c r="J34" s="291"/>
      <c r="K34" s="291"/>
      <c r="L34" s="291"/>
      <c r="M34" s="291"/>
      <c r="N34" s="291"/>
      <c r="O34" s="291"/>
      <c r="P34" s="291"/>
    </row>
    <row r="35" spans="1:16" ht="15.6">
      <c r="A35" s="291"/>
      <c r="B35" s="291"/>
      <c r="C35" s="291"/>
      <c r="D35" s="304"/>
      <c r="E35" s="291"/>
      <c r="F35" s="291"/>
      <c r="G35" s="291"/>
      <c r="H35" s="291"/>
      <c r="I35" s="291"/>
      <c r="J35" s="291"/>
      <c r="K35" s="291"/>
      <c r="L35" s="291"/>
      <c r="M35" s="291"/>
      <c r="N35" s="291"/>
      <c r="O35" s="291"/>
      <c r="P35" s="291"/>
    </row>
    <row r="36" spans="1:16" ht="15.6">
      <c r="A36" s="291"/>
      <c r="B36" s="304" t="s">
        <v>494</v>
      </c>
      <c r="C36" s="291"/>
      <c r="D36" s="291"/>
      <c r="E36" s="291"/>
      <c r="F36" s="291"/>
      <c r="G36" s="291"/>
      <c r="H36" s="291"/>
      <c r="I36" s="291"/>
      <c r="J36" s="291"/>
      <c r="K36" s="291"/>
      <c r="L36" s="291"/>
      <c r="M36" s="291"/>
      <c r="N36" s="291"/>
      <c r="O36" s="291"/>
      <c r="P36" s="291"/>
    </row>
    <row r="38" spans="1:16">
      <c r="A38" s="2" t="s">
        <v>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B8CC-37D8-47D4-B444-97326049A0BC}">
  <sheetPr>
    <tabColor rgb="FFFF0000"/>
  </sheetPr>
  <dimension ref="A1:J12"/>
  <sheetViews>
    <sheetView workbookViewId="0">
      <selection activeCell="M11" sqref="M11"/>
    </sheetView>
  </sheetViews>
  <sheetFormatPr defaultColWidth="8.77734375" defaultRowHeight="14.4"/>
  <cols>
    <col min="1" max="1" width="17.44140625" style="40" customWidth="1"/>
    <col min="2" max="16384" width="8.77734375" style="40"/>
  </cols>
  <sheetData>
    <row r="1" spans="1:10" s="28" customFormat="1" ht="17.399999999999999">
      <c r="A1" s="27" t="s">
        <v>122</v>
      </c>
    </row>
    <row r="2" spans="1:10" s="28" customFormat="1" ht="15.6">
      <c r="A2" s="29" t="s">
        <v>73</v>
      </c>
    </row>
    <row r="3" spans="1:10" s="28" customFormat="1" ht="15.6">
      <c r="A3" s="29" t="s">
        <v>123</v>
      </c>
      <c r="B3" s="30"/>
      <c r="C3" s="30"/>
      <c r="D3" s="30"/>
      <c r="E3" s="30"/>
      <c r="F3" s="30"/>
      <c r="G3" s="30"/>
      <c r="H3" s="30"/>
      <c r="I3" s="30"/>
      <c r="J3" s="30"/>
    </row>
    <row r="4" spans="1:10" s="28" customFormat="1"/>
    <row r="5" spans="1:10" s="28" customFormat="1" ht="15.6">
      <c r="A5" s="31" t="s">
        <v>124</v>
      </c>
    </row>
    <row r="6" spans="1:10" s="28" customFormat="1" ht="16.2" thickBot="1">
      <c r="A6" s="31"/>
    </row>
    <row r="7" spans="1:10" s="28" customFormat="1" ht="16.2" thickBot="1">
      <c r="A7" s="32" t="s">
        <v>125</v>
      </c>
      <c r="B7" s="33">
        <v>0</v>
      </c>
      <c r="C7" s="33">
        <v>1</v>
      </c>
      <c r="D7" s="33">
        <v>2</v>
      </c>
      <c r="E7" s="33">
        <v>3</v>
      </c>
      <c r="F7" s="33">
        <v>4</v>
      </c>
    </row>
    <row r="8" spans="1:10" s="28" customFormat="1" ht="31.8" thickBot="1">
      <c r="A8" s="34" t="s">
        <v>126</v>
      </c>
      <c r="B8" s="35">
        <v>2000</v>
      </c>
      <c r="C8" s="36">
        <v>400</v>
      </c>
      <c r="D8" s="36">
        <v>-200</v>
      </c>
      <c r="E8" s="36">
        <v>-650</v>
      </c>
      <c r="F8" s="35">
        <v>1000</v>
      </c>
    </row>
    <row r="9" spans="1:10" s="28" customFormat="1" ht="31.8" thickBot="1">
      <c r="A9" s="34" t="s">
        <v>127</v>
      </c>
      <c r="B9" s="36" t="s">
        <v>128</v>
      </c>
      <c r="C9" s="37">
        <v>0.01</v>
      </c>
      <c r="D9" s="37">
        <v>1.2E-2</v>
      </c>
      <c r="E9" s="37">
        <v>1.4999999999999999E-2</v>
      </c>
      <c r="F9" s="37">
        <v>0.02</v>
      </c>
    </row>
    <row r="10" spans="1:10" s="28" customFormat="1" ht="15.6">
      <c r="A10" s="38"/>
    </row>
    <row r="11" spans="1:10" s="28" customFormat="1" ht="15.6">
      <c r="A11" s="38" t="s">
        <v>129</v>
      </c>
    </row>
    <row r="12" spans="1:10" ht="15.6">
      <c r="A12" s="39" t="s">
        <v>22</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0702-277B-4AFE-9178-808C90C44793}">
  <sheetPr>
    <tabColor theme="5" tint="0.79998168889431442"/>
  </sheetPr>
  <dimension ref="A1:J266"/>
  <sheetViews>
    <sheetView workbookViewId="0">
      <selection activeCell="G8" sqref="G8:H8"/>
    </sheetView>
  </sheetViews>
  <sheetFormatPr defaultColWidth="8.77734375" defaultRowHeight="14.4"/>
  <cols>
    <col min="1" max="1" width="46.21875" style="40" customWidth="1"/>
    <col min="2" max="2" width="24" style="40" customWidth="1"/>
    <col min="3" max="16384" width="8.77734375" style="40"/>
  </cols>
  <sheetData>
    <row r="1" spans="1:10" s="28" customFormat="1" ht="17.399999999999999">
      <c r="A1" s="27" t="s">
        <v>137</v>
      </c>
    </row>
    <row r="2" spans="1:10" s="41" customFormat="1" ht="15.6">
      <c r="A2" s="29" t="s">
        <v>138</v>
      </c>
    </row>
    <row r="3" spans="1:10" s="41" customFormat="1" ht="15.6">
      <c r="A3" s="29" t="s">
        <v>139</v>
      </c>
      <c r="B3" s="42"/>
      <c r="C3" s="42"/>
      <c r="D3" s="42"/>
      <c r="E3" s="42"/>
      <c r="F3" s="42"/>
      <c r="G3" s="42"/>
      <c r="H3" s="42"/>
      <c r="I3" s="42"/>
      <c r="J3" s="42"/>
    </row>
    <row r="4" spans="1:10" s="41" customFormat="1" ht="13.8"/>
    <row r="5" spans="1:10" s="41" customFormat="1" ht="15.6">
      <c r="A5" s="38" t="s">
        <v>140</v>
      </c>
    </row>
    <row r="6" spans="1:10" s="41" customFormat="1" ht="15.6">
      <c r="A6" s="38" t="s">
        <v>141</v>
      </c>
      <c r="B6" s="43">
        <v>40000</v>
      </c>
    </row>
    <row r="7" spans="1:10" s="41" customFormat="1" ht="16.2" thickBot="1">
      <c r="A7" s="38" t="s">
        <v>142</v>
      </c>
    </row>
    <row r="8" spans="1:10" s="41" customFormat="1" ht="15.6">
      <c r="A8" s="44" t="s">
        <v>143</v>
      </c>
      <c r="B8" s="45">
        <v>3000</v>
      </c>
    </row>
    <row r="9" spans="1:10" s="41" customFormat="1" ht="15.6">
      <c r="A9" s="46" t="s">
        <v>144</v>
      </c>
      <c r="B9" s="47"/>
    </row>
    <row r="10" spans="1:10" s="41" customFormat="1" ht="15.6">
      <c r="A10" s="38" t="s">
        <v>145</v>
      </c>
      <c r="B10" s="48">
        <v>5500</v>
      </c>
    </row>
    <row r="11" spans="1:10" s="41" customFormat="1" ht="15.6">
      <c r="A11" s="38" t="s">
        <v>146</v>
      </c>
      <c r="B11" s="48">
        <v>3500</v>
      </c>
    </row>
    <row r="12" spans="1:10" s="41" customFormat="1" ht="15.6">
      <c r="A12" s="46" t="s">
        <v>147</v>
      </c>
      <c r="B12" s="47"/>
    </row>
    <row r="13" spans="1:10" s="41" customFormat="1" ht="15.6">
      <c r="A13" s="38" t="s">
        <v>148</v>
      </c>
      <c r="B13" s="48">
        <v>10000</v>
      </c>
    </row>
    <row r="14" spans="1:10" s="41" customFormat="1" ht="15.6">
      <c r="A14" s="38" t="s">
        <v>149</v>
      </c>
      <c r="B14" s="48">
        <v>8000</v>
      </c>
    </row>
    <row r="15" spans="1:10" s="41" customFormat="1" ht="15.6">
      <c r="A15" s="38" t="s">
        <v>150</v>
      </c>
      <c r="B15" s="48">
        <v>2500</v>
      </c>
    </row>
    <row r="16" spans="1:10" s="41" customFormat="1" ht="15.6">
      <c r="A16" s="38" t="s">
        <v>151</v>
      </c>
      <c r="B16" s="48">
        <v>2000</v>
      </c>
    </row>
    <row r="17" spans="1:4" s="41" customFormat="1" ht="16.2" thickBot="1">
      <c r="A17" s="49" t="s">
        <v>152</v>
      </c>
      <c r="B17" s="50">
        <v>500</v>
      </c>
    </row>
    <row r="18" spans="1:4" s="41" customFormat="1" ht="16.2" thickBot="1">
      <c r="A18" s="51" t="s">
        <v>153</v>
      </c>
      <c r="B18" s="52">
        <v>0.2</v>
      </c>
    </row>
    <row r="19" spans="1:4" s="41" customFormat="1" ht="15.6">
      <c r="A19" s="53"/>
    </row>
    <row r="20" spans="1:4" s="41" customFormat="1" ht="13.8">
      <c r="A20" s="54" t="s">
        <v>154</v>
      </c>
      <c r="B20" s="55">
        <v>0.75</v>
      </c>
      <c r="C20" s="55">
        <v>0.85</v>
      </c>
      <c r="D20" s="55">
        <v>0.95</v>
      </c>
    </row>
    <row r="21" spans="1:4" s="41" customFormat="1" ht="13.8">
      <c r="A21" s="54" t="s">
        <v>155</v>
      </c>
      <c r="B21" s="56">
        <v>0.67449000000000003</v>
      </c>
      <c r="C21" s="56">
        <v>1.0364329999999999</v>
      </c>
      <c r="D21" s="56">
        <v>1.644854</v>
      </c>
    </row>
    <row r="22" spans="1:4" s="41" customFormat="1" ht="15.6">
      <c r="A22" s="57"/>
    </row>
    <row r="23" spans="1:4" s="41" customFormat="1" ht="15.6">
      <c r="A23" s="38" t="s">
        <v>156</v>
      </c>
    </row>
    <row r="24" spans="1:4" s="41" customFormat="1" ht="15.6">
      <c r="A24" s="38" t="s">
        <v>157</v>
      </c>
    </row>
    <row r="25" spans="1:4" s="59" customFormat="1" ht="15.6">
      <c r="A25" s="58" t="s">
        <v>158</v>
      </c>
    </row>
    <row r="26" spans="1:4" s="59" customFormat="1" ht="13.8"/>
    <row r="27" spans="1:4" s="59" customFormat="1" ht="13.8"/>
    <row r="28" spans="1:4" s="59" customFormat="1" ht="13.8"/>
    <row r="29" spans="1:4" s="59" customFormat="1" ht="13.8"/>
    <row r="30" spans="1:4" s="59" customFormat="1" ht="13.8"/>
    <row r="31" spans="1:4" s="59" customFormat="1" ht="13.8"/>
    <row r="32" spans="1:4" s="59" customFormat="1" ht="13.8"/>
    <row r="33" s="59" customFormat="1" ht="13.8"/>
    <row r="34" s="59" customFormat="1" ht="13.8"/>
    <row r="35" s="59" customFormat="1" ht="13.8"/>
    <row r="36" s="59" customFormat="1" ht="13.8"/>
    <row r="37" s="59" customFormat="1" ht="13.8"/>
    <row r="38" s="59" customFormat="1" ht="13.8"/>
    <row r="39" s="59" customFormat="1" ht="13.8"/>
    <row r="40" s="59" customFormat="1" ht="13.8"/>
    <row r="41" s="59" customFormat="1" ht="13.8"/>
    <row r="42" s="59" customFormat="1" ht="13.8"/>
    <row r="43" s="59" customFormat="1" ht="13.8"/>
    <row r="44" s="59" customFormat="1" ht="13.8"/>
    <row r="45" s="59" customFormat="1" ht="13.8"/>
    <row r="46" s="59" customFormat="1" ht="13.8"/>
    <row r="47" s="59" customFormat="1" ht="13.8"/>
    <row r="48" s="59" customFormat="1" ht="13.8"/>
    <row r="49" s="59" customFormat="1" ht="13.8"/>
    <row r="50" s="59" customFormat="1" ht="13.8"/>
    <row r="51" s="59" customFormat="1" ht="13.8"/>
    <row r="52" s="59" customFormat="1" ht="13.8"/>
    <row r="53" s="59" customFormat="1" ht="13.8"/>
    <row r="54" s="59" customFormat="1" ht="13.8"/>
    <row r="55" s="59" customFormat="1" ht="13.8"/>
    <row r="56" s="59" customFormat="1" ht="13.8"/>
    <row r="57" s="59" customFormat="1" ht="13.8"/>
    <row r="58" s="59" customFormat="1" ht="13.8"/>
    <row r="59" s="59" customFormat="1" ht="13.8"/>
    <row r="60" s="59" customFormat="1" ht="13.8"/>
    <row r="61" s="59" customFormat="1" ht="13.8"/>
    <row r="62" s="59" customFormat="1" ht="13.8"/>
    <row r="63" s="59" customFormat="1" ht="13.8"/>
    <row r="64" s="59" customFormat="1" ht="13.8"/>
    <row r="65" s="59" customFormat="1" ht="13.8"/>
    <row r="66" s="59" customFormat="1" ht="13.8"/>
    <row r="67" s="59" customFormat="1" ht="13.8"/>
    <row r="68" s="59" customFormat="1" ht="13.8"/>
    <row r="69" s="59" customFormat="1" ht="13.8"/>
    <row r="70" s="59" customFormat="1" ht="13.8"/>
    <row r="71" s="59" customFormat="1" ht="13.8"/>
    <row r="72" s="59" customFormat="1" ht="13.8"/>
    <row r="73" s="59" customFormat="1" ht="13.8"/>
    <row r="74" s="59" customFormat="1" ht="13.8"/>
    <row r="75" s="59" customFormat="1" ht="13.8"/>
    <row r="76" s="59" customFormat="1" ht="13.8"/>
    <row r="77" s="59" customFormat="1" ht="13.8"/>
    <row r="78" s="59" customFormat="1" ht="13.8"/>
    <row r="79" s="59" customFormat="1" ht="13.8"/>
    <row r="80" s="59" customFormat="1" ht="13.8"/>
    <row r="81" s="59" customFormat="1" ht="13.8"/>
    <row r="82" s="59" customFormat="1" ht="13.8"/>
    <row r="83" s="59" customFormat="1" ht="13.8"/>
    <row r="84" s="59" customFormat="1" ht="13.8"/>
    <row r="85" s="59" customFormat="1" ht="13.8"/>
    <row r="86" s="59" customFormat="1" ht="13.8"/>
    <row r="87" s="59" customFormat="1" ht="13.8"/>
    <row r="88" s="59" customFormat="1" ht="13.8"/>
    <row r="89" s="59" customFormat="1" ht="13.8"/>
    <row r="90" s="59" customFormat="1" ht="13.8"/>
    <row r="91" s="59" customFormat="1" ht="13.8"/>
    <row r="92" s="59" customFormat="1" ht="13.8"/>
    <row r="93" s="59" customFormat="1" ht="13.8"/>
    <row r="94" s="59" customFormat="1" ht="13.8"/>
    <row r="95" s="59" customFormat="1" ht="13.8"/>
    <row r="96" s="59" customFormat="1" ht="13.8"/>
    <row r="97" s="59" customFormat="1" ht="13.8"/>
    <row r="98" s="59" customFormat="1" ht="13.8"/>
    <row r="99" s="59" customFormat="1" ht="13.8"/>
    <row r="100" s="59" customFormat="1" ht="13.8"/>
    <row r="101" s="59" customFormat="1" ht="13.8"/>
    <row r="102" s="59" customFormat="1" ht="13.8"/>
    <row r="103" s="59" customFormat="1" ht="13.8"/>
    <row r="104" s="59" customFormat="1" ht="13.8"/>
    <row r="105" s="59" customFormat="1" ht="13.8"/>
    <row r="106" s="59" customFormat="1" ht="13.8"/>
    <row r="107" s="59" customFormat="1" ht="13.8"/>
    <row r="108" s="59" customFormat="1" ht="13.8"/>
    <row r="109" s="59" customFormat="1" ht="13.8"/>
    <row r="110" s="59" customFormat="1" ht="13.8"/>
    <row r="111" s="59" customFormat="1" ht="13.8"/>
    <row r="112" s="59" customFormat="1" ht="13.8"/>
    <row r="113" s="59" customFormat="1" ht="13.8"/>
    <row r="114" s="59" customFormat="1" ht="13.8"/>
    <row r="115" s="59" customFormat="1" ht="13.8"/>
    <row r="116" s="59" customFormat="1" ht="13.8"/>
    <row r="117" s="59" customFormat="1" ht="13.8"/>
    <row r="118" s="59" customFormat="1" ht="13.8"/>
    <row r="119" s="59" customFormat="1" ht="13.8"/>
    <row r="120" s="59" customFormat="1" ht="13.8"/>
    <row r="121" s="59" customFormat="1" ht="13.8"/>
    <row r="122" s="59" customFormat="1" ht="13.8"/>
    <row r="123" s="59" customFormat="1" ht="13.8"/>
    <row r="124" s="59" customFormat="1" ht="13.8"/>
    <row r="125" s="59" customFormat="1" ht="13.8"/>
    <row r="126" s="59" customFormat="1" ht="13.8"/>
    <row r="127" s="59" customFormat="1" ht="13.8"/>
    <row r="128" s="59" customFormat="1" ht="13.8"/>
    <row r="129" s="59" customFormat="1" ht="13.8"/>
    <row r="130" s="59" customFormat="1" ht="13.8"/>
    <row r="131" s="59" customFormat="1" ht="13.8"/>
    <row r="132" s="59" customFormat="1" ht="13.8"/>
    <row r="133" s="59" customFormat="1" ht="13.8"/>
    <row r="134" s="59" customFormat="1" ht="13.8"/>
    <row r="135" s="59" customFormat="1" ht="13.8"/>
    <row r="136" s="59" customFormat="1" ht="13.8"/>
    <row r="137" s="59" customFormat="1" ht="13.8"/>
    <row r="138" s="59" customFormat="1" ht="13.8"/>
    <row r="139" s="59" customFormat="1" ht="13.8"/>
    <row r="140" s="59" customFormat="1" ht="13.8"/>
    <row r="141" s="59" customFormat="1" ht="13.8"/>
    <row r="142" s="59" customFormat="1" ht="13.8"/>
    <row r="143" s="59" customFormat="1" ht="13.8"/>
    <row r="144" s="59" customFormat="1" ht="13.8"/>
    <row r="145" s="59" customFormat="1" ht="13.8"/>
    <row r="146" s="59" customFormat="1" ht="13.8"/>
    <row r="147" s="59" customFormat="1" ht="13.8"/>
    <row r="148" s="59" customFormat="1" ht="13.8"/>
    <row r="149" s="59" customFormat="1" ht="13.8"/>
    <row r="150" s="59" customFormat="1" ht="13.8"/>
    <row r="151" s="59" customFormat="1" ht="13.8"/>
    <row r="152" s="59" customFormat="1" ht="13.8"/>
    <row r="153" s="59" customFormat="1" ht="13.8"/>
    <row r="154" s="59" customFormat="1" ht="13.8"/>
    <row r="155" s="59" customFormat="1" ht="13.8"/>
    <row r="156" s="59" customFormat="1" ht="13.8"/>
    <row r="157" s="59" customFormat="1" ht="13.8"/>
    <row r="158" s="59" customFormat="1" ht="13.8"/>
    <row r="159" s="59" customFormat="1" ht="13.8"/>
    <row r="160" s="59" customFormat="1" ht="13.8"/>
    <row r="161" s="59" customFormat="1" ht="13.8"/>
    <row r="162" s="59" customFormat="1" ht="13.8"/>
    <row r="163" s="59" customFormat="1" ht="13.8"/>
    <row r="164" s="59" customFormat="1" ht="13.8"/>
    <row r="165" s="59" customFormat="1" ht="13.8"/>
    <row r="166" s="59" customFormat="1" ht="13.8"/>
    <row r="167" s="59" customFormat="1" ht="13.8"/>
    <row r="168" s="59" customFormat="1" ht="13.8"/>
    <row r="169" s="59" customFormat="1" ht="13.8"/>
    <row r="170" s="59" customFormat="1" ht="13.8"/>
    <row r="171" s="59" customFormat="1" ht="13.8"/>
    <row r="172" s="59" customFormat="1" ht="13.8"/>
    <row r="173" s="59" customFormat="1" ht="13.8"/>
    <row r="174" s="59" customFormat="1" ht="13.8"/>
    <row r="175" s="59" customFormat="1" ht="13.8"/>
    <row r="176" s="59" customFormat="1" ht="13.8"/>
    <row r="177" s="59" customFormat="1" ht="13.8"/>
    <row r="178" s="59" customFormat="1" ht="13.8"/>
    <row r="179" s="59" customFormat="1" ht="13.8"/>
    <row r="180" s="59" customFormat="1" ht="13.8"/>
    <row r="181" s="59" customFormat="1" ht="13.8"/>
    <row r="182" s="59" customFormat="1" ht="13.8"/>
    <row r="183" s="59" customFormat="1" ht="13.8"/>
    <row r="184" s="59" customFormat="1" ht="13.8"/>
    <row r="185" s="59" customFormat="1" ht="13.8"/>
    <row r="186" s="59" customFormat="1" ht="13.8"/>
    <row r="187" s="59" customFormat="1" ht="13.8"/>
    <row r="188" s="59" customFormat="1" ht="13.8"/>
    <row r="189" s="59" customFormat="1" ht="13.8"/>
    <row r="190" s="59" customFormat="1" ht="13.8"/>
    <row r="191" s="59" customFormat="1" ht="13.8"/>
    <row r="192" s="59" customFormat="1" ht="13.8"/>
    <row r="193" s="59" customFormat="1" ht="13.8"/>
    <row r="194" s="59" customFormat="1" ht="13.8"/>
    <row r="195" s="59" customFormat="1" ht="13.8"/>
    <row r="196" s="59" customFormat="1" ht="13.8"/>
    <row r="197" s="59" customFormat="1" ht="13.8"/>
    <row r="198" s="59" customFormat="1" ht="13.8"/>
    <row r="199" s="59" customFormat="1" ht="13.8"/>
    <row r="200" s="59" customFormat="1" ht="13.8"/>
    <row r="201" s="59" customFormat="1" ht="13.8"/>
    <row r="202" s="59" customFormat="1" ht="13.8"/>
    <row r="203" s="59" customFormat="1" ht="13.8"/>
    <row r="204" s="59" customFormat="1" ht="13.8"/>
    <row r="205" s="59" customFormat="1" ht="13.8"/>
    <row r="206" s="59" customFormat="1" ht="13.8"/>
    <row r="207" s="59" customFormat="1" ht="13.8"/>
    <row r="208" s="59" customFormat="1" ht="13.8"/>
    <row r="209" s="59" customFormat="1" ht="13.8"/>
    <row r="210" s="59" customFormat="1" ht="13.8"/>
    <row r="211" s="59" customFormat="1" ht="13.8"/>
    <row r="212" s="59" customFormat="1" ht="13.8"/>
    <row r="213" s="59" customFormat="1" ht="13.8"/>
    <row r="214" s="59" customFormat="1" ht="13.8"/>
    <row r="215" s="59" customFormat="1" ht="13.8"/>
    <row r="216" s="59" customFormat="1" ht="13.8"/>
    <row r="217" s="59" customFormat="1" ht="13.8"/>
    <row r="218" s="59" customFormat="1" ht="13.8"/>
    <row r="219" s="59" customFormat="1" ht="13.8"/>
    <row r="220" s="59" customFormat="1" ht="13.8"/>
    <row r="221" s="59" customFormat="1" ht="13.8"/>
    <row r="222" s="59" customFormat="1" ht="13.8"/>
    <row r="223" s="59" customFormat="1" ht="13.8"/>
    <row r="224" s="59" customFormat="1" ht="13.8"/>
    <row r="225" s="59" customFormat="1" ht="13.8"/>
    <row r="226" s="59" customFormat="1" ht="13.8"/>
    <row r="227" s="59" customFormat="1" ht="13.8"/>
    <row r="228" s="59" customFormat="1" ht="13.8"/>
    <row r="229" s="59" customFormat="1" ht="13.8"/>
    <row r="230" s="59" customFormat="1" ht="13.8"/>
    <row r="231" s="59" customFormat="1" ht="13.8"/>
    <row r="232" s="59" customFormat="1" ht="13.8"/>
    <row r="233" s="59" customFormat="1" ht="13.8"/>
    <row r="234" s="59" customFormat="1" ht="13.8"/>
    <row r="235" s="59" customFormat="1" ht="13.8"/>
    <row r="236" s="59" customFormat="1" ht="13.8"/>
    <row r="237" s="59" customFormat="1" ht="13.8"/>
    <row r="238" s="59" customFormat="1" ht="13.8"/>
    <row r="239" s="59" customFormat="1" ht="13.8"/>
    <row r="240" s="59" customFormat="1" ht="13.8"/>
    <row r="241" s="59" customFormat="1" ht="13.8"/>
    <row r="242" s="59" customFormat="1" ht="13.8"/>
    <row r="243" s="59" customFormat="1" ht="13.8"/>
    <row r="244" s="59" customFormat="1" ht="13.8"/>
    <row r="245" s="59" customFormat="1" ht="13.8"/>
    <row r="246" s="59" customFormat="1" ht="13.8"/>
    <row r="247" s="59" customFormat="1" ht="13.8"/>
    <row r="248" s="59" customFormat="1" ht="13.8"/>
    <row r="249" s="59" customFormat="1" ht="13.8"/>
    <row r="250" s="59" customFormat="1" ht="13.8"/>
    <row r="251" s="59" customFormat="1" ht="13.8"/>
    <row r="252" s="59" customFormat="1" ht="13.8"/>
    <row r="253" s="59" customFormat="1" ht="13.8"/>
    <row r="254" s="59" customFormat="1" ht="13.8"/>
    <row r="255" s="59" customFormat="1" ht="13.8"/>
    <row r="256" s="59" customFormat="1" ht="13.8"/>
    <row r="257" s="59" customFormat="1" ht="13.8"/>
    <row r="258" s="59" customFormat="1" ht="13.8"/>
    <row r="259" s="59" customFormat="1" ht="13.8"/>
    <row r="260" s="59" customFormat="1" ht="13.8"/>
    <row r="261" s="59" customFormat="1" ht="13.8"/>
    <row r="262" s="59" customFormat="1" ht="13.8"/>
    <row r="263" s="59" customFormat="1" ht="13.8"/>
    <row r="264" s="59" customFormat="1" ht="13.8"/>
    <row r="265" s="59" customFormat="1" ht="13.8"/>
    <row r="266" s="59" customFormat="1" ht="13.8"/>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CB2C-7605-4F9B-B7D1-DE780B4A6BC5}">
  <sheetPr>
    <tabColor theme="5" tint="0.79998168889431442"/>
  </sheetPr>
  <dimension ref="A1:J38"/>
  <sheetViews>
    <sheetView workbookViewId="0">
      <selection activeCell="G8" sqref="G8:H8"/>
    </sheetView>
  </sheetViews>
  <sheetFormatPr defaultColWidth="8.77734375" defaultRowHeight="14.4"/>
  <cols>
    <col min="1" max="1" width="45.77734375" style="40" customWidth="1"/>
    <col min="2" max="2" width="33.21875" style="40" customWidth="1"/>
    <col min="3" max="3" width="44" style="40" customWidth="1"/>
    <col min="4" max="16384" width="8.77734375" style="40"/>
  </cols>
  <sheetData>
    <row r="1" spans="1:10" s="28" customFormat="1" ht="17.399999999999999">
      <c r="A1" s="27" t="s">
        <v>159</v>
      </c>
    </row>
    <row r="2" spans="1:10" s="41" customFormat="1" ht="15.6">
      <c r="A2" s="29" t="s">
        <v>133</v>
      </c>
    </row>
    <row r="3" spans="1:10" s="41" customFormat="1" ht="15.6">
      <c r="A3" s="29" t="s">
        <v>130</v>
      </c>
      <c r="B3" s="42"/>
      <c r="C3" s="42"/>
      <c r="D3" s="42"/>
      <c r="E3" s="42"/>
      <c r="F3" s="42"/>
      <c r="G3" s="42"/>
      <c r="H3" s="42"/>
      <c r="I3" s="42"/>
      <c r="J3" s="42"/>
    </row>
    <row r="4" spans="1:10" s="41" customFormat="1" ht="15.6">
      <c r="A4" s="29"/>
      <c r="B4" s="42"/>
      <c r="C4" s="42"/>
      <c r="D4" s="42"/>
      <c r="E4" s="42"/>
      <c r="F4" s="42"/>
      <c r="G4" s="42"/>
      <c r="H4" s="42"/>
      <c r="I4" s="42"/>
      <c r="J4" s="42"/>
    </row>
    <row r="5" spans="1:10" s="28" customFormat="1" ht="15.6">
      <c r="A5" s="38" t="s">
        <v>160</v>
      </c>
      <c r="B5" s="60"/>
      <c r="C5" s="60"/>
    </row>
    <row r="6" spans="1:10" s="28" customFormat="1" ht="15.6">
      <c r="A6" s="38" t="s">
        <v>161</v>
      </c>
      <c r="B6" s="60"/>
      <c r="C6" s="60"/>
    </row>
    <row r="7" spans="1:10" s="28" customFormat="1" ht="15.6">
      <c r="A7" s="38" t="s">
        <v>162</v>
      </c>
      <c r="B7" s="60"/>
      <c r="C7" s="60"/>
    </row>
    <row r="8" spans="1:10" s="28" customFormat="1" ht="15.6">
      <c r="A8" s="38" t="s">
        <v>163</v>
      </c>
      <c r="B8" s="60"/>
      <c r="C8" s="60"/>
    </row>
    <row r="9" spans="1:10" s="28" customFormat="1" ht="16.2" thickBot="1">
      <c r="A9" s="38"/>
      <c r="B9" s="41"/>
      <c r="C9" s="41"/>
    </row>
    <row r="10" spans="1:10" s="28" customFormat="1" ht="16.2" thickBot="1">
      <c r="A10" s="61"/>
      <c r="B10" s="33" t="s">
        <v>164</v>
      </c>
      <c r="C10" s="33" t="s">
        <v>110</v>
      </c>
    </row>
    <row r="11" spans="1:10" s="28" customFormat="1" ht="16.2" thickBot="1">
      <c r="A11" s="62" t="s">
        <v>165</v>
      </c>
      <c r="B11" s="36" t="s">
        <v>166</v>
      </c>
      <c r="C11" s="35">
        <v>14000000</v>
      </c>
    </row>
    <row r="12" spans="1:10" s="28" customFormat="1" ht="16.2" thickBot="1">
      <c r="A12" s="62" t="s">
        <v>167</v>
      </c>
      <c r="B12" s="35">
        <v>11000000</v>
      </c>
      <c r="C12" s="35">
        <v>8000000</v>
      </c>
    </row>
    <row r="13" spans="1:10" s="28" customFormat="1" ht="16.2" thickBot="1">
      <c r="A13" s="62" t="s">
        <v>168</v>
      </c>
      <c r="B13" s="35">
        <v>700000</v>
      </c>
      <c r="C13" s="35">
        <v>1200000</v>
      </c>
    </row>
    <row r="14" spans="1:10" s="28" customFormat="1" ht="16.2" thickBot="1">
      <c r="A14" s="62" t="s">
        <v>169</v>
      </c>
      <c r="B14" s="35">
        <v>1200000</v>
      </c>
      <c r="C14" s="35">
        <v>1700000</v>
      </c>
    </row>
    <row r="15" spans="1:10" s="28" customFormat="1" ht="16.2" thickBot="1">
      <c r="A15" s="62" t="s">
        <v>170</v>
      </c>
      <c r="B15" s="35">
        <v>1000000</v>
      </c>
      <c r="C15" s="35">
        <v>1600000</v>
      </c>
    </row>
    <row r="16" spans="1:10" s="28" customFormat="1" ht="16.2" thickBot="1">
      <c r="A16" s="38"/>
      <c r="B16" s="41"/>
      <c r="C16" s="41"/>
    </row>
    <row r="17" spans="1:3" s="28" customFormat="1" ht="16.2" thickBot="1">
      <c r="A17" s="63" t="s">
        <v>104</v>
      </c>
      <c r="B17" s="33" t="s">
        <v>171</v>
      </c>
      <c r="C17" s="33" t="s">
        <v>172</v>
      </c>
    </row>
    <row r="18" spans="1:3" s="28" customFormat="1" ht="16.2" thickBot="1">
      <c r="A18" s="64">
        <v>1</v>
      </c>
      <c r="B18" s="36" t="s">
        <v>173</v>
      </c>
      <c r="C18" s="35">
        <v>5000000</v>
      </c>
    </row>
    <row r="19" spans="1:3" s="28" customFormat="1" ht="16.2" thickBot="1">
      <c r="A19" s="64">
        <v>2</v>
      </c>
      <c r="B19" s="35">
        <v>19000000</v>
      </c>
      <c r="C19" s="35">
        <v>4800000</v>
      </c>
    </row>
    <row r="20" spans="1:3" s="28" customFormat="1" ht="16.2" thickBot="1">
      <c r="A20" s="64">
        <v>3</v>
      </c>
      <c r="B20" s="35">
        <v>18000000</v>
      </c>
      <c r="C20" s="35">
        <v>4600000</v>
      </c>
    </row>
    <row r="21" spans="1:3" s="28" customFormat="1" ht="16.2" thickBot="1">
      <c r="A21" s="64">
        <v>4</v>
      </c>
      <c r="B21" s="35">
        <v>17000000</v>
      </c>
      <c r="C21" s="35">
        <v>4500000</v>
      </c>
    </row>
    <row r="22" spans="1:3" s="28" customFormat="1" ht="16.2" thickBot="1">
      <c r="A22" s="64">
        <v>5</v>
      </c>
      <c r="B22" s="35">
        <v>16000000</v>
      </c>
      <c r="C22" s="35">
        <v>4400000</v>
      </c>
    </row>
    <row r="23" spans="1:3" s="28" customFormat="1" ht="16.2" thickBot="1">
      <c r="A23" s="62" t="s">
        <v>174</v>
      </c>
      <c r="B23" s="35">
        <v>250000000</v>
      </c>
      <c r="C23" s="35">
        <v>100000000</v>
      </c>
    </row>
    <row r="24" spans="1:3" s="28" customFormat="1">
      <c r="A24" s="65"/>
      <c r="B24" s="41"/>
      <c r="C24" s="41"/>
    </row>
    <row r="25" spans="1:3" s="28" customFormat="1" ht="15.6">
      <c r="A25" s="66" t="s">
        <v>175</v>
      </c>
      <c r="B25" s="41"/>
      <c r="C25" s="41"/>
    </row>
    <row r="26" spans="1:3" s="28" customFormat="1" ht="15.6">
      <c r="A26" s="67" t="s">
        <v>176</v>
      </c>
      <c r="B26" s="41"/>
      <c r="C26" s="41"/>
    </row>
    <row r="27" spans="1:3" ht="15.6">
      <c r="A27" s="68" t="s">
        <v>158</v>
      </c>
      <c r="B27" s="59"/>
      <c r="C27" s="59"/>
    </row>
    <row r="28" spans="1:3" ht="15.6">
      <c r="A28" s="68"/>
      <c r="B28" s="59"/>
      <c r="C28" s="59"/>
    </row>
    <row r="29" spans="1:3" ht="15.6">
      <c r="A29" s="68"/>
      <c r="B29" s="59"/>
      <c r="C29" s="59"/>
    </row>
    <row r="30" spans="1:3" ht="15.6">
      <c r="A30" s="68"/>
      <c r="B30" s="59"/>
      <c r="C30" s="59"/>
    </row>
    <row r="31" spans="1:3" ht="15.6">
      <c r="A31" s="68"/>
      <c r="B31" s="59"/>
      <c r="C31" s="59"/>
    </row>
    <row r="32" spans="1:3">
      <c r="A32" s="59"/>
      <c r="B32" s="59"/>
      <c r="C32" s="59"/>
    </row>
    <row r="33" spans="1:3" ht="15.6">
      <c r="A33" s="69"/>
      <c r="B33" s="59"/>
      <c r="C33" s="59"/>
    </row>
    <row r="34" spans="1:3" s="28" customFormat="1" ht="15.6">
      <c r="A34" s="70" t="s">
        <v>177</v>
      </c>
      <c r="B34" s="41"/>
      <c r="C34" s="41"/>
    </row>
    <row r="35" spans="1:3" s="28" customFormat="1" ht="15.6">
      <c r="A35" s="38" t="s">
        <v>178</v>
      </c>
      <c r="B35" s="41"/>
      <c r="C35" s="41"/>
    </row>
    <row r="36" spans="1:3" s="28" customFormat="1" ht="15.6">
      <c r="A36" s="38" t="s">
        <v>179</v>
      </c>
      <c r="B36" s="41"/>
      <c r="C36" s="41"/>
    </row>
    <row r="37" spans="1:3" ht="15.6">
      <c r="A37" s="68" t="s">
        <v>158</v>
      </c>
      <c r="B37" s="59"/>
      <c r="C37" s="59"/>
    </row>
    <row r="38" spans="1:3">
      <c r="A38" s="59"/>
      <c r="B38" s="59"/>
      <c r="C38" s="5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093C1-C182-4C7B-86DC-7014151D0CFC}">
  <sheetPr>
    <tabColor theme="5" tint="0.79998168889431442"/>
  </sheetPr>
  <dimension ref="A1:J47"/>
  <sheetViews>
    <sheetView workbookViewId="0">
      <selection activeCell="G8" sqref="G8:H8"/>
    </sheetView>
  </sheetViews>
  <sheetFormatPr defaultColWidth="8.77734375" defaultRowHeight="14.4"/>
  <cols>
    <col min="1" max="1" width="12" style="87" bestFit="1" customWidth="1"/>
    <col min="2" max="3" width="10.21875" style="87" bestFit="1" customWidth="1"/>
    <col min="4" max="6" width="9.77734375" style="87" bestFit="1" customWidth="1"/>
    <col min="7" max="8" width="8.77734375" style="87"/>
    <col min="9" max="16384" width="8.77734375" style="40"/>
  </cols>
  <sheetData>
    <row r="1" spans="1:10" s="28" customFormat="1" ht="17.399999999999999">
      <c r="A1" s="27" t="s">
        <v>180</v>
      </c>
    </row>
    <row r="2" spans="1:10" s="41" customFormat="1" ht="15.6">
      <c r="A2" s="29" t="s">
        <v>181</v>
      </c>
    </row>
    <row r="3" spans="1:10" s="41" customFormat="1" ht="15.6">
      <c r="A3" s="29" t="s">
        <v>182</v>
      </c>
      <c r="B3" s="42"/>
      <c r="C3" s="42"/>
      <c r="D3" s="42"/>
      <c r="E3" s="42"/>
      <c r="F3" s="42"/>
      <c r="G3" s="42"/>
      <c r="H3" s="42"/>
      <c r="I3" s="42"/>
      <c r="J3" s="42"/>
    </row>
    <row r="4" spans="1:10" s="41" customFormat="1" ht="15.6">
      <c r="A4" s="29"/>
      <c r="B4" s="42"/>
      <c r="C4" s="42"/>
      <c r="D4" s="42"/>
      <c r="E4" s="42"/>
      <c r="F4" s="42"/>
      <c r="G4" s="42"/>
      <c r="H4" s="42"/>
      <c r="I4" s="42"/>
      <c r="J4" s="42"/>
    </row>
    <row r="5" spans="1:10" s="28" customFormat="1" ht="15.6">
      <c r="A5" s="71" t="s">
        <v>183</v>
      </c>
      <c r="B5" s="72"/>
      <c r="C5" s="72"/>
      <c r="D5" s="73"/>
      <c r="E5" s="73"/>
      <c r="F5" s="73"/>
      <c r="G5" s="73"/>
      <c r="H5" s="73"/>
    </row>
    <row r="6" spans="1:10" s="28" customFormat="1" ht="15.6">
      <c r="A6" s="71" t="s">
        <v>184</v>
      </c>
      <c r="B6" s="72"/>
      <c r="C6" s="72"/>
      <c r="D6" s="73"/>
      <c r="E6" s="73"/>
      <c r="F6" s="73"/>
      <c r="G6" s="73"/>
      <c r="H6" s="73"/>
    </row>
    <row r="7" spans="1:10" s="28" customFormat="1" ht="15.6">
      <c r="A7" s="74" t="s">
        <v>185</v>
      </c>
      <c r="B7" s="72"/>
      <c r="C7" s="72"/>
      <c r="D7" s="73"/>
      <c r="E7" s="73"/>
      <c r="F7" s="73"/>
      <c r="G7" s="73"/>
      <c r="H7" s="73"/>
    </row>
    <row r="8" spans="1:10" s="28" customFormat="1" ht="15.6">
      <c r="A8" s="74" t="s">
        <v>186</v>
      </c>
      <c r="B8" s="72"/>
      <c r="C8" s="72"/>
      <c r="D8" s="73"/>
      <c r="E8" s="73"/>
      <c r="F8" s="73"/>
      <c r="G8" s="73"/>
      <c r="H8" s="73"/>
    </row>
    <row r="9" spans="1:10" s="28" customFormat="1" ht="15.6">
      <c r="A9" s="74" t="s">
        <v>187</v>
      </c>
      <c r="B9" s="72"/>
      <c r="C9" s="72"/>
      <c r="D9" s="73"/>
      <c r="E9" s="73"/>
      <c r="F9" s="73"/>
      <c r="G9" s="73"/>
      <c r="H9" s="73"/>
    </row>
    <row r="10" spans="1:10" s="28" customFormat="1" ht="15.6">
      <c r="A10" s="74" t="s">
        <v>188</v>
      </c>
      <c r="B10" s="72"/>
      <c r="C10" s="72"/>
      <c r="D10" s="73"/>
      <c r="E10" s="73"/>
      <c r="F10" s="73"/>
      <c r="G10" s="73"/>
      <c r="H10" s="73"/>
    </row>
    <row r="11" spans="1:10" s="28" customFormat="1" ht="15.6">
      <c r="A11" s="71"/>
      <c r="B11" s="72"/>
      <c r="C11" s="72"/>
      <c r="D11" s="73"/>
      <c r="E11" s="73"/>
      <c r="F11" s="73"/>
      <c r="G11" s="73"/>
      <c r="H11" s="73"/>
    </row>
    <row r="12" spans="1:10" s="28" customFormat="1" ht="15.6">
      <c r="A12" s="71" t="s">
        <v>189</v>
      </c>
      <c r="B12" s="72"/>
      <c r="C12" s="72"/>
      <c r="D12" s="73"/>
      <c r="E12" s="73"/>
      <c r="F12" s="73"/>
      <c r="G12" s="73"/>
      <c r="H12" s="73"/>
    </row>
    <row r="13" spans="1:10" s="28" customFormat="1" ht="15.6">
      <c r="A13" s="71" t="s">
        <v>190</v>
      </c>
      <c r="B13" s="72"/>
      <c r="C13" s="72"/>
      <c r="D13" s="73"/>
      <c r="E13" s="73"/>
      <c r="F13" s="73"/>
      <c r="G13" s="73"/>
      <c r="H13" s="73"/>
    </row>
    <row r="14" spans="1:10" s="28" customFormat="1">
      <c r="A14" s="73"/>
      <c r="B14" s="73"/>
      <c r="C14" s="73"/>
      <c r="D14" s="73"/>
      <c r="E14" s="73"/>
      <c r="F14" s="73"/>
      <c r="G14" s="73"/>
      <c r="H14" s="73"/>
    </row>
    <row r="15" spans="1:10">
      <c r="A15" s="75" t="s">
        <v>191</v>
      </c>
      <c r="B15" s="75" t="s">
        <v>192</v>
      </c>
      <c r="C15" s="75" t="s">
        <v>193</v>
      </c>
      <c r="D15" s="75" t="s">
        <v>194</v>
      </c>
      <c r="E15" s="75" t="s">
        <v>195</v>
      </c>
      <c r="F15" s="75" t="s">
        <v>196</v>
      </c>
      <c r="G15" s="75" t="s">
        <v>197</v>
      </c>
      <c r="H15" s="76" t="s">
        <v>198</v>
      </c>
    </row>
    <row r="16" spans="1:10">
      <c r="A16" s="77">
        <v>50</v>
      </c>
      <c r="B16" s="77">
        <v>0</v>
      </c>
      <c r="C16" s="78">
        <v>50</v>
      </c>
      <c r="D16" s="79">
        <v>0</v>
      </c>
      <c r="E16" s="79" t="s">
        <v>199</v>
      </c>
      <c r="F16" s="79" t="s">
        <v>199</v>
      </c>
      <c r="G16" s="79">
        <v>0</v>
      </c>
      <c r="H16" s="80">
        <v>0</v>
      </c>
    </row>
    <row r="17" spans="1:8">
      <c r="A17" s="77">
        <f t="shared" ref="A17:B32" si="0">A16+1</f>
        <v>51</v>
      </c>
      <c r="B17" s="77">
        <f t="shared" si="0"/>
        <v>1</v>
      </c>
      <c r="C17" s="77">
        <v>50</v>
      </c>
      <c r="D17" s="77">
        <v>60</v>
      </c>
      <c r="E17" s="79" t="s">
        <v>199</v>
      </c>
      <c r="F17" s="79" t="s">
        <v>199</v>
      </c>
      <c r="G17" s="79">
        <v>0</v>
      </c>
      <c r="H17" s="80">
        <v>10</v>
      </c>
    </row>
    <row r="18" spans="1:8">
      <c r="A18" s="77">
        <f t="shared" si="0"/>
        <v>52</v>
      </c>
      <c r="B18" s="77">
        <f t="shared" si="0"/>
        <v>2</v>
      </c>
      <c r="C18" s="77">
        <v>50</v>
      </c>
      <c r="D18" s="77">
        <v>120</v>
      </c>
      <c r="E18" s="79" t="s">
        <v>199</v>
      </c>
      <c r="F18" s="79" t="s">
        <v>199</v>
      </c>
      <c r="G18" s="79">
        <v>0</v>
      </c>
      <c r="H18" s="80">
        <v>20</v>
      </c>
    </row>
    <row r="19" spans="1:8">
      <c r="A19" s="77">
        <f t="shared" si="0"/>
        <v>53</v>
      </c>
      <c r="B19" s="77">
        <f t="shared" si="0"/>
        <v>3</v>
      </c>
      <c r="C19" s="77">
        <v>50</v>
      </c>
      <c r="D19" s="77">
        <v>180</v>
      </c>
      <c r="E19" s="79" t="s">
        <v>199</v>
      </c>
      <c r="F19" s="79" t="s">
        <v>199</v>
      </c>
      <c r="G19" s="79">
        <v>0</v>
      </c>
      <c r="H19" s="80">
        <v>30</v>
      </c>
    </row>
    <row r="20" spans="1:8">
      <c r="A20" s="77">
        <f t="shared" si="0"/>
        <v>54</v>
      </c>
      <c r="B20" s="77">
        <f t="shared" si="0"/>
        <v>4</v>
      </c>
      <c r="C20" s="77">
        <v>50</v>
      </c>
      <c r="D20" s="77">
        <v>240</v>
      </c>
      <c r="E20" s="79" t="s">
        <v>199</v>
      </c>
      <c r="F20" s="79" t="s">
        <v>199</v>
      </c>
      <c r="G20" s="79">
        <v>25</v>
      </c>
      <c r="H20" s="80">
        <v>40</v>
      </c>
    </row>
    <row r="21" spans="1:8">
      <c r="A21" s="77">
        <f t="shared" si="0"/>
        <v>55</v>
      </c>
      <c r="B21" s="77">
        <f t="shared" si="0"/>
        <v>5</v>
      </c>
      <c r="C21" s="77">
        <v>55</v>
      </c>
      <c r="D21" s="77">
        <v>300</v>
      </c>
      <c r="E21" s="77">
        <v>0</v>
      </c>
      <c r="F21" s="79" t="s">
        <v>199</v>
      </c>
      <c r="G21" s="79">
        <v>50</v>
      </c>
      <c r="H21" s="80">
        <v>50</v>
      </c>
    </row>
    <row r="22" spans="1:8">
      <c r="A22" s="77">
        <f t="shared" si="0"/>
        <v>56</v>
      </c>
      <c r="B22" s="77">
        <f t="shared" si="0"/>
        <v>6</v>
      </c>
      <c r="C22" s="77">
        <v>55</v>
      </c>
      <c r="D22" s="77">
        <v>360</v>
      </c>
      <c r="E22" s="77">
        <v>70</v>
      </c>
      <c r="F22" s="79" t="s">
        <v>199</v>
      </c>
      <c r="G22" s="79">
        <v>75</v>
      </c>
      <c r="H22" s="80">
        <v>60</v>
      </c>
    </row>
    <row r="23" spans="1:8">
      <c r="A23" s="77">
        <f t="shared" si="0"/>
        <v>57</v>
      </c>
      <c r="B23" s="77">
        <f t="shared" si="0"/>
        <v>7</v>
      </c>
      <c r="C23" s="77">
        <v>55</v>
      </c>
      <c r="D23" s="77">
        <v>420</v>
      </c>
      <c r="E23" s="77">
        <v>140</v>
      </c>
      <c r="F23" s="79" t="s">
        <v>199</v>
      </c>
      <c r="G23" s="79">
        <v>100</v>
      </c>
      <c r="H23" s="80">
        <v>70</v>
      </c>
    </row>
    <row r="24" spans="1:8">
      <c r="A24" s="77">
        <f t="shared" si="0"/>
        <v>58</v>
      </c>
      <c r="B24" s="77">
        <f t="shared" si="0"/>
        <v>8</v>
      </c>
      <c r="C24" s="77">
        <v>55</v>
      </c>
      <c r="D24" s="77">
        <v>480</v>
      </c>
      <c r="E24" s="77">
        <v>210</v>
      </c>
      <c r="F24" s="79" t="s">
        <v>199</v>
      </c>
      <c r="G24" s="79">
        <v>125</v>
      </c>
      <c r="H24" s="80">
        <v>80</v>
      </c>
    </row>
    <row r="25" spans="1:8">
      <c r="A25" s="77">
        <f t="shared" si="0"/>
        <v>59</v>
      </c>
      <c r="B25" s="77">
        <f t="shared" si="0"/>
        <v>9</v>
      </c>
      <c r="C25" s="77">
        <v>55</v>
      </c>
      <c r="D25" s="77">
        <v>495</v>
      </c>
      <c r="E25" s="77">
        <v>280</v>
      </c>
      <c r="F25" s="79" t="s">
        <v>199</v>
      </c>
      <c r="G25" s="79">
        <v>150</v>
      </c>
      <c r="H25" s="80">
        <v>90</v>
      </c>
    </row>
    <row r="26" spans="1:8">
      <c r="A26" s="77">
        <f t="shared" si="0"/>
        <v>60</v>
      </c>
      <c r="B26" s="77">
        <f t="shared" si="0"/>
        <v>10</v>
      </c>
      <c r="C26" s="77">
        <v>61</v>
      </c>
      <c r="D26" s="77">
        <v>510</v>
      </c>
      <c r="E26" s="77">
        <v>350</v>
      </c>
      <c r="F26" s="77">
        <v>0</v>
      </c>
      <c r="G26" s="79">
        <v>175</v>
      </c>
      <c r="H26" s="81">
        <v>100</v>
      </c>
    </row>
    <row r="27" spans="1:8">
      <c r="A27" s="77">
        <f t="shared" si="0"/>
        <v>61</v>
      </c>
      <c r="B27" s="77">
        <f t="shared" si="0"/>
        <v>11</v>
      </c>
      <c r="C27" s="77">
        <v>61</v>
      </c>
      <c r="D27" s="77">
        <v>525</v>
      </c>
      <c r="E27" s="77">
        <v>420</v>
      </c>
      <c r="F27" s="77">
        <v>75</v>
      </c>
      <c r="G27" s="79">
        <v>200</v>
      </c>
      <c r="H27" s="81">
        <v>125</v>
      </c>
    </row>
    <row r="28" spans="1:8">
      <c r="A28" s="77">
        <f t="shared" si="0"/>
        <v>62</v>
      </c>
      <c r="B28" s="77">
        <f t="shared" si="0"/>
        <v>12</v>
      </c>
      <c r="C28" s="77">
        <v>61</v>
      </c>
      <c r="D28" s="77">
        <v>540</v>
      </c>
      <c r="E28" s="77">
        <v>490</v>
      </c>
      <c r="F28" s="77">
        <v>150</v>
      </c>
      <c r="G28" s="79">
        <v>250</v>
      </c>
      <c r="H28" s="81">
        <v>150</v>
      </c>
    </row>
    <row r="29" spans="1:8">
      <c r="A29" s="77">
        <f t="shared" si="0"/>
        <v>63</v>
      </c>
      <c r="B29" s="77">
        <f t="shared" si="0"/>
        <v>13</v>
      </c>
      <c r="C29" s="77">
        <v>61</v>
      </c>
      <c r="D29" s="77">
        <v>555</v>
      </c>
      <c r="E29" s="77">
        <v>560</v>
      </c>
      <c r="F29" s="77">
        <v>225</v>
      </c>
      <c r="G29" s="79">
        <v>300</v>
      </c>
      <c r="H29" s="81">
        <v>175</v>
      </c>
    </row>
    <row r="30" spans="1:8">
      <c r="A30" s="77">
        <f t="shared" si="0"/>
        <v>64</v>
      </c>
      <c r="B30" s="77">
        <f t="shared" si="0"/>
        <v>14</v>
      </c>
      <c r="C30" s="77">
        <v>61</v>
      </c>
      <c r="D30" s="77">
        <v>570</v>
      </c>
      <c r="E30" s="77">
        <v>570</v>
      </c>
      <c r="F30" s="77">
        <v>300</v>
      </c>
      <c r="G30" s="79">
        <v>350</v>
      </c>
      <c r="H30" s="81">
        <v>200</v>
      </c>
    </row>
    <row r="31" spans="1:8">
      <c r="A31" s="77">
        <f t="shared" si="0"/>
        <v>65</v>
      </c>
      <c r="B31" s="77">
        <f t="shared" si="0"/>
        <v>15</v>
      </c>
      <c r="C31" s="77">
        <v>63</v>
      </c>
      <c r="D31" s="77">
        <v>585</v>
      </c>
      <c r="E31" s="77">
        <v>580</v>
      </c>
      <c r="F31" s="77">
        <v>375</v>
      </c>
      <c r="G31" s="79">
        <v>400</v>
      </c>
      <c r="H31" s="81">
        <v>250</v>
      </c>
    </row>
    <row r="32" spans="1:8">
      <c r="A32" s="77">
        <f t="shared" si="0"/>
        <v>66</v>
      </c>
      <c r="B32" s="77">
        <f t="shared" si="0"/>
        <v>16</v>
      </c>
      <c r="C32" s="77">
        <v>63</v>
      </c>
      <c r="D32" s="77">
        <v>600</v>
      </c>
      <c r="E32" s="77">
        <v>600</v>
      </c>
      <c r="F32" s="77">
        <v>450</v>
      </c>
      <c r="G32" s="79">
        <v>450</v>
      </c>
      <c r="H32" s="81">
        <v>300</v>
      </c>
    </row>
    <row r="33" spans="1:8">
      <c r="A33" s="77">
        <f t="shared" ref="A33:B36" si="1">A32+1</f>
        <v>67</v>
      </c>
      <c r="B33" s="77">
        <f t="shared" si="1"/>
        <v>17</v>
      </c>
      <c r="C33" s="77">
        <v>63</v>
      </c>
      <c r="D33" s="77">
        <v>615</v>
      </c>
      <c r="E33" s="77">
        <v>615</v>
      </c>
      <c r="F33" s="77">
        <v>525</v>
      </c>
      <c r="G33" s="79">
        <v>500</v>
      </c>
      <c r="H33" s="81">
        <v>350</v>
      </c>
    </row>
    <row r="34" spans="1:8">
      <c r="A34" s="77">
        <f t="shared" si="1"/>
        <v>68</v>
      </c>
      <c r="B34" s="77">
        <f t="shared" si="1"/>
        <v>18</v>
      </c>
      <c r="C34" s="77">
        <v>63</v>
      </c>
      <c r="D34" s="77">
        <v>630</v>
      </c>
      <c r="E34" s="77">
        <v>630</v>
      </c>
      <c r="F34" s="77">
        <v>600</v>
      </c>
      <c r="G34" s="79">
        <v>550</v>
      </c>
      <c r="H34" s="81">
        <v>400</v>
      </c>
    </row>
    <row r="35" spans="1:8">
      <c r="A35" s="77">
        <f t="shared" si="1"/>
        <v>69</v>
      </c>
      <c r="B35" s="77">
        <f t="shared" si="1"/>
        <v>19</v>
      </c>
      <c r="C35" s="77">
        <v>63</v>
      </c>
      <c r="D35" s="77">
        <v>645</v>
      </c>
      <c r="E35" s="77">
        <v>645</v>
      </c>
      <c r="F35" s="77">
        <v>640</v>
      </c>
      <c r="G35" s="79">
        <v>625</v>
      </c>
      <c r="H35" s="81">
        <v>450</v>
      </c>
    </row>
    <row r="36" spans="1:8">
      <c r="A36" s="82">
        <f t="shared" si="1"/>
        <v>70</v>
      </c>
      <c r="B36" s="82">
        <f t="shared" si="1"/>
        <v>20</v>
      </c>
      <c r="C36" s="82">
        <v>64</v>
      </c>
      <c r="D36" s="82">
        <v>660</v>
      </c>
      <c r="E36" s="82">
        <v>660</v>
      </c>
      <c r="F36" s="82">
        <v>655</v>
      </c>
      <c r="G36" s="83">
        <v>700</v>
      </c>
      <c r="H36" s="84">
        <v>500</v>
      </c>
    </row>
    <row r="38" spans="1:8" s="28" customFormat="1" ht="15.6">
      <c r="A38" s="85" t="s">
        <v>200</v>
      </c>
      <c r="B38" s="73"/>
      <c r="C38" s="73"/>
      <c r="D38" s="73"/>
      <c r="E38" s="73"/>
      <c r="F38" s="73"/>
      <c r="G38" s="73"/>
      <c r="H38" s="73"/>
    </row>
    <row r="39" spans="1:8" ht="15.6">
      <c r="A39" s="86" t="s">
        <v>158</v>
      </c>
    </row>
    <row r="40" spans="1:8" ht="15.6">
      <c r="A40" s="86"/>
    </row>
    <row r="41" spans="1:8" ht="15.6">
      <c r="A41" s="86"/>
    </row>
    <row r="42" spans="1:8" ht="15.6">
      <c r="A42" s="86"/>
    </row>
    <row r="43" spans="1:8" ht="15.6">
      <c r="A43" s="86"/>
    </row>
    <row r="44" spans="1:8" ht="15.6">
      <c r="A44" s="86"/>
    </row>
    <row r="45" spans="1:8" ht="15.6">
      <c r="A45" s="86"/>
    </row>
    <row r="46" spans="1:8" s="28" customFormat="1" ht="15.6">
      <c r="A46" s="85" t="s">
        <v>201</v>
      </c>
      <c r="B46" s="73"/>
      <c r="C46" s="73"/>
      <c r="D46" s="73"/>
      <c r="E46" s="73"/>
      <c r="F46" s="73"/>
      <c r="G46" s="73"/>
      <c r="H46" s="73"/>
    </row>
    <row r="47" spans="1:8" ht="15.6">
      <c r="A47" s="86" t="s">
        <v>158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BE87-92D9-4F29-8BB8-ABF7A5EBD8D6}">
  <sheetPr>
    <tabColor rgb="FFFF0000"/>
  </sheetPr>
  <dimension ref="A1:J35"/>
  <sheetViews>
    <sheetView workbookViewId="0">
      <selection activeCell="F7" sqref="F7"/>
    </sheetView>
  </sheetViews>
  <sheetFormatPr defaultColWidth="8.77734375" defaultRowHeight="14.4"/>
  <cols>
    <col min="1" max="1" width="37.109375" style="328" customWidth="1"/>
    <col min="2" max="2" width="16.33203125" style="328" customWidth="1"/>
    <col min="3" max="3" width="15.88671875" style="328" customWidth="1"/>
    <col min="4" max="16384" width="8.77734375" style="328"/>
  </cols>
  <sheetData>
    <row r="1" spans="1:10" s="316" customFormat="1" ht="17.399999999999999">
      <c r="A1" s="315" t="s">
        <v>495</v>
      </c>
    </row>
    <row r="2" spans="1:10" s="316" customFormat="1" ht="15.6">
      <c r="A2" s="317" t="s">
        <v>496</v>
      </c>
    </row>
    <row r="3" spans="1:10" s="316" customFormat="1" ht="15.6">
      <c r="A3" s="317" t="s">
        <v>497</v>
      </c>
      <c r="B3" s="318"/>
      <c r="C3" s="318"/>
      <c r="D3" s="318"/>
      <c r="E3" s="318"/>
      <c r="F3" s="318"/>
      <c r="G3" s="318"/>
      <c r="H3" s="318"/>
      <c r="I3" s="318"/>
      <c r="J3" s="318"/>
    </row>
    <row r="4" spans="1:10" s="316" customFormat="1" ht="15.6">
      <c r="A4" s="317"/>
      <c r="B4" s="318"/>
      <c r="C4" s="318"/>
      <c r="D4" s="318"/>
      <c r="E4" s="318"/>
      <c r="F4" s="318"/>
      <c r="G4" s="318"/>
      <c r="H4" s="318"/>
      <c r="I4" s="318"/>
      <c r="J4" s="318"/>
    </row>
    <row r="5" spans="1:10" s="316" customFormat="1" ht="15.6">
      <c r="A5" s="319" t="s">
        <v>498</v>
      </c>
    </row>
    <row r="6" spans="1:10" s="316" customFormat="1" ht="16.2" thickBot="1">
      <c r="A6" s="319"/>
    </row>
    <row r="7" spans="1:10" s="316" customFormat="1" ht="16.2" thickBot="1">
      <c r="A7" s="760" t="s">
        <v>499</v>
      </c>
      <c r="B7" s="761"/>
      <c r="C7" s="762"/>
    </row>
    <row r="8" spans="1:10" s="316" customFormat="1" ht="16.2" thickBot="1">
      <c r="A8" s="321"/>
      <c r="B8" s="322" t="s">
        <v>500</v>
      </c>
      <c r="C8" s="322" t="s">
        <v>501</v>
      </c>
    </row>
    <row r="9" spans="1:10" s="316" customFormat="1" ht="16.2" thickBot="1">
      <c r="A9" s="321" t="s">
        <v>502</v>
      </c>
      <c r="B9" s="323">
        <v>100</v>
      </c>
      <c r="C9" s="323">
        <v>100</v>
      </c>
    </row>
    <row r="10" spans="1:10" s="316" customFormat="1" ht="16.2" thickBot="1">
      <c r="A10" s="321" t="s">
        <v>503</v>
      </c>
      <c r="B10" s="323">
        <v>325</v>
      </c>
      <c r="C10" s="323">
        <v>325</v>
      </c>
    </row>
    <row r="11" spans="1:10" s="316" customFormat="1" ht="16.2" thickBot="1">
      <c r="A11" s="321" t="s">
        <v>504</v>
      </c>
      <c r="B11" s="323">
        <v>300</v>
      </c>
      <c r="C11" s="323">
        <v>300</v>
      </c>
    </row>
    <row r="12" spans="1:10" s="316" customFormat="1" ht="16.2" thickBot="1">
      <c r="A12" s="321" t="s">
        <v>505</v>
      </c>
      <c r="B12" s="323">
        <v>2E-3</v>
      </c>
      <c r="C12" s="323">
        <v>3.0000000000000001E-3</v>
      </c>
    </row>
    <row r="13" spans="1:10" s="316" customFormat="1" ht="16.2" thickBot="1">
      <c r="A13" s="321" t="s">
        <v>506</v>
      </c>
      <c r="B13" s="324">
        <v>0.04</v>
      </c>
      <c r="C13" s="324">
        <v>4.2500000000000003E-2</v>
      </c>
    </row>
    <row r="14" spans="1:10" s="316" customFormat="1" ht="16.2" thickBot="1">
      <c r="A14" s="321" t="s">
        <v>507</v>
      </c>
      <c r="B14" s="325">
        <v>0.02</v>
      </c>
      <c r="C14" s="325">
        <v>0</v>
      </c>
    </row>
    <row r="15" spans="1:10" s="316" customFormat="1" ht="16.2" thickBot="1">
      <c r="A15" s="321" t="s">
        <v>508</v>
      </c>
      <c r="B15" s="323">
        <v>15</v>
      </c>
      <c r="C15" s="323">
        <v>8</v>
      </c>
    </row>
    <row r="16" spans="1:10" s="316" customFormat="1" ht="15.6">
      <c r="A16" s="319"/>
    </row>
    <row r="17" spans="1:1" s="316" customFormat="1" ht="15.6">
      <c r="A17" s="319" t="s">
        <v>42</v>
      </c>
    </row>
    <row r="18" spans="1:1" s="316" customFormat="1" ht="15.6">
      <c r="A18" s="319"/>
    </row>
    <row r="19" spans="1:1" s="316" customFormat="1" ht="15.6">
      <c r="A19" s="326" t="s">
        <v>509</v>
      </c>
    </row>
    <row r="20" spans="1:1" s="316" customFormat="1" ht="15.6">
      <c r="A20" s="326" t="s">
        <v>510</v>
      </c>
    </row>
    <row r="21" spans="1:1" s="316" customFormat="1" ht="15.6">
      <c r="A21" s="326" t="s">
        <v>511</v>
      </c>
    </row>
    <row r="22" spans="1:1" s="316" customFormat="1" ht="15.6">
      <c r="A22" s="326" t="s">
        <v>512</v>
      </c>
    </row>
    <row r="23" spans="1:1" s="316" customFormat="1" ht="15.6">
      <c r="A23" s="326" t="s">
        <v>513</v>
      </c>
    </row>
    <row r="24" spans="1:1" s="316" customFormat="1" ht="15.6">
      <c r="A24" s="326" t="s">
        <v>514</v>
      </c>
    </row>
    <row r="25" spans="1:1" s="316" customFormat="1"/>
    <row r="26" spans="1:1" s="316" customFormat="1" ht="15.6">
      <c r="A26" s="319" t="s">
        <v>515</v>
      </c>
    </row>
    <row r="27" spans="1:1" ht="15.6">
      <c r="A27" s="327" t="s">
        <v>22</v>
      </c>
    </row>
    <row r="34" spans="1:1" s="316" customFormat="1" ht="15.6">
      <c r="A34" s="329" t="s">
        <v>516</v>
      </c>
    </row>
    <row r="35" spans="1:1" ht="15.6">
      <c r="A35" s="327" t="s">
        <v>22</v>
      </c>
    </row>
  </sheetData>
  <mergeCells count="1">
    <mergeCell ref="A7:C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9B63-3699-418A-A3DF-473257BE0A94}">
  <sheetPr>
    <tabColor rgb="FFFF0000"/>
  </sheetPr>
  <dimension ref="A1:J36"/>
  <sheetViews>
    <sheetView topLeftCell="A19" workbookViewId="0">
      <selection activeCell="F7" sqref="F7"/>
    </sheetView>
  </sheetViews>
  <sheetFormatPr defaultColWidth="8.77734375" defaultRowHeight="14.4"/>
  <cols>
    <col min="1" max="16384" width="8.77734375" style="328"/>
  </cols>
  <sheetData>
    <row r="1" spans="1:10" s="316" customFormat="1" ht="17.399999999999999">
      <c r="A1" s="315" t="s">
        <v>517</v>
      </c>
    </row>
    <row r="2" spans="1:10" s="316" customFormat="1" ht="15.6">
      <c r="A2" s="317" t="s">
        <v>133</v>
      </c>
    </row>
    <row r="3" spans="1:10" s="316" customFormat="1" ht="15.6">
      <c r="A3" s="317" t="s">
        <v>518</v>
      </c>
      <c r="B3" s="318"/>
      <c r="C3" s="318"/>
      <c r="D3" s="318"/>
      <c r="E3" s="318"/>
      <c r="F3" s="318"/>
      <c r="G3" s="318"/>
      <c r="H3" s="318"/>
      <c r="I3" s="318"/>
      <c r="J3" s="318"/>
    </row>
    <row r="4" spans="1:10" s="316" customFormat="1" ht="15.6">
      <c r="A4" s="317"/>
      <c r="B4" s="318"/>
      <c r="C4" s="318"/>
      <c r="D4" s="318"/>
      <c r="E4" s="318"/>
      <c r="F4" s="318"/>
      <c r="G4" s="318"/>
      <c r="H4" s="318"/>
      <c r="I4" s="318"/>
      <c r="J4" s="318"/>
    </row>
    <row r="5" spans="1:10" s="330" customFormat="1" ht="15.6">
      <c r="A5" s="319" t="s">
        <v>519</v>
      </c>
    </row>
    <row r="6" spans="1:10" s="330" customFormat="1" ht="13.8">
      <c r="A6" s="331"/>
    </row>
    <row r="7" spans="1:10" s="330" customFormat="1" ht="15.6">
      <c r="A7" s="319" t="s">
        <v>520</v>
      </c>
    </row>
    <row r="8" spans="1:10" s="330" customFormat="1" ht="15.6">
      <c r="A8" s="332" t="s">
        <v>521</v>
      </c>
    </row>
    <row r="9" spans="1:10" s="330" customFormat="1" ht="15.6">
      <c r="A9" s="332" t="s">
        <v>522</v>
      </c>
    </row>
    <row r="10" spans="1:10" s="330" customFormat="1" ht="15.6">
      <c r="A10" s="332" t="s">
        <v>523</v>
      </c>
    </row>
    <row r="11" spans="1:10" s="330" customFormat="1" ht="15.6">
      <c r="A11" s="332" t="s">
        <v>524</v>
      </c>
    </row>
    <row r="12" spans="1:10" s="330" customFormat="1" ht="15.6">
      <c r="A12" s="332" t="s">
        <v>525</v>
      </c>
    </row>
    <row r="13" spans="1:10" s="330" customFormat="1" ht="13.8"/>
    <row r="14" spans="1:10" s="330" customFormat="1" ht="15.6">
      <c r="A14" s="333" t="s">
        <v>526</v>
      </c>
    </row>
    <row r="15" spans="1:10" s="335" customFormat="1" ht="13.8">
      <c r="A15" s="334" t="s">
        <v>158</v>
      </c>
    </row>
    <row r="16" spans="1:10" s="335" customFormat="1" ht="13.8">
      <c r="A16" s="334"/>
    </row>
    <row r="17" spans="1:1" s="335" customFormat="1" ht="13.8">
      <c r="A17" s="334"/>
    </row>
    <row r="18" spans="1:1" s="335" customFormat="1" ht="13.8">
      <c r="A18" s="334"/>
    </row>
    <row r="19" spans="1:1" s="335" customFormat="1" ht="13.8">
      <c r="A19" s="334"/>
    </row>
    <row r="20" spans="1:1" s="335" customFormat="1" ht="13.8">
      <c r="A20" s="334"/>
    </row>
    <row r="21" spans="1:1" s="335" customFormat="1" ht="13.8">
      <c r="A21" s="334"/>
    </row>
    <row r="22" spans="1:1" s="330" customFormat="1" ht="15.6">
      <c r="A22" s="319" t="s">
        <v>527</v>
      </c>
    </row>
    <row r="23" spans="1:1" s="330" customFormat="1" ht="15.6">
      <c r="A23" s="336" t="s">
        <v>528</v>
      </c>
    </row>
    <row r="24" spans="1:1" s="335" customFormat="1" ht="13.8">
      <c r="A24" s="334" t="s">
        <v>158</v>
      </c>
    </row>
    <row r="25" spans="1:1" s="335" customFormat="1" ht="13.8"/>
    <row r="26" spans="1:1" s="335" customFormat="1" ht="13.8"/>
    <row r="27" spans="1:1" s="335" customFormat="1" ht="13.8"/>
    <row r="28" spans="1:1" s="335" customFormat="1" ht="13.8"/>
    <row r="29" spans="1:1" s="335" customFormat="1" ht="13.8"/>
    <row r="30" spans="1:1" s="335" customFormat="1" ht="13.8"/>
    <row r="31" spans="1:1" s="335" customFormat="1" ht="13.8"/>
    <row r="32" spans="1:1" s="335" customFormat="1" ht="13.8"/>
    <row r="33" s="335" customFormat="1" ht="13.8"/>
    <row r="34" s="335" customFormat="1" ht="13.8"/>
    <row r="35" s="335" customFormat="1" ht="13.8"/>
    <row r="36" s="335" customFormat="1" ht="13.8"/>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9C7F-7A0F-4DBC-A89B-C5174510479D}">
  <sheetPr>
    <tabColor rgb="FFFF0000"/>
  </sheetPr>
  <dimension ref="A1:J93"/>
  <sheetViews>
    <sheetView topLeftCell="A20" workbookViewId="0">
      <selection activeCell="F7" sqref="F7"/>
    </sheetView>
  </sheetViews>
  <sheetFormatPr defaultColWidth="8.77734375" defaultRowHeight="14.4"/>
  <cols>
    <col min="1" max="2" width="11.33203125" style="328" customWidth="1"/>
    <col min="3" max="3" width="12.6640625" style="328" customWidth="1"/>
    <col min="4" max="4" width="10.88671875" style="328" customWidth="1"/>
    <col min="5" max="5" width="12.33203125" style="328" customWidth="1"/>
    <col min="6" max="16384" width="8.77734375" style="328"/>
  </cols>
  <sheetData>
    <row r="1" spans="1:10" s="316" customFormat="1" ht="17.399999999999999">
      <c r="A1" s="315" t="s">
        <v>529</v>
      </c>
    </row>
    <row r="2" spans="1:10" s="316" customFormat="1" ht="15.6">
      <c r="A2" s="317" t="s">
        <v>109</v>
      </c>
    </row>
    <row r="3" spans="1:10" s="316" customFormat="1" ht="15.6">
      <c r="A3" s="317" t="s">
        <v>530</v>
      </c>
      <c r="B3" s="318"/>
      <c r="C3" s="318"/>
      <c r="D3" s="318"/>
      <c r="E3" s="318"/>
      <c r="F3" s="318"/>
      <c r="G3" s="318"/>
      <c r="H3" s="318"/>
      <c r="I3" s="318"/>
      <c r="J3" s="318"/>
    </row>
    <row r="4" spans="1:10" s="330" customFormat="1" ht="13.8"/>
    <row r="5" spans="1:10" s="329" customFormat="1" ht="15.6">
      <c r="A5" s="329" t="s">
        <v>531</v>
      </c>
    </row>
    <row r="6" spans="1:10" s="329" customFormat="1" ht="15.6"/>
    <row r="7" spans="1:10" s="329" customFormat="1" ht="15.6"/>
    <row r="8" spans="1:10" s="329" customFormat="1" ht="15.6">
      <c r="A8" s="337" t="s">
        <v>532</v>
      </c>
    </row>
    <row r="9" spans="1:10" s="329" customFormat="1" ht="15.6">
      <c r="A9" s="338" t="s">
        <v>533</v>
      </c>
      <c r="B9" s="338" t="s">
        <v>534</v>
      </c>
      <c r="C9" s="339"/>
      <c r="D9" s="340"/>
    </row>
    <row r="10" spans="1:10" s="329" customFormat="1" ht="15.6">
      <c r="A10" s="341">
        <v>65</v>
      </c>
      <c r="B10" s="341">
        <v>1.018E-2</v>
      </c>
      <c r="C10" s="342"/>
    </row>
    <row r="11" spans="1:10" s="329" customFormat="1" ht="15.6">
      <c r="A11" s="341">
        <v>66</v>
      </c>
      <c r="B11" s="341">
        <v>1.129E-2</v>
      </c>
      <c r="C11" s="342"/>
    </row>
    <row r="12" spans="1:10" s="329" customFormat="1" ht="15.6">
      <c r="A12" s="341">
        <v>67</v>
      </c>
      <c r="B12" s="341">
        <v>1.2500000000000001E-2</v>
      </c>
      <c r="C12" s="342"/>
    </row>
    <row r="13" spans="1:10" s="329" customFormat="1" ht="15.6">
      <c r="A13" s="341">
        <v>68</v>
      </c>
      <c r="B13" s="341">
        <v>1.384E-2</v>
      </c>
      <c r="C13" s="342"/>
    </row>
    <row r="14" spans="1:10" s="329" customFormat="1" ht="15.6"/>
    <row r="15" spans="1:10" s="339" customFormat="1" ht="15.6">
      <c r="A15" s="337" t="s">
        <v>535</v>
      </c>
    </row>
    <row r="16" spans="1:10" s="329" customFormat="1" ht="15.6"/>
    <row r="17" spans="1:4" s="329" customFormat="1" ht="15.6">
      <c r="A17" s="343" t="s">
        <v>536</v>
      </c>
      <c r="B17" s="763" t="s">
        <v>104</v>
      </c>
      <c r="C17" s="764"/>
      <c r="D17" s="765"/>
    </row>
    <row r="18" spans="1:4" s="329" customFormat="1" ht="15.6">
      <c r="A18" s="344"/>
      <c r="B18" s="345">
        <v>2020</v>
      </c>
      <c r="C18" s="345">
        <v>2021</v>
      </c>
      <c r="D18" s="345">
        <v>2022</v>
      </c>
    </row>
    <row r="19" spans="1:4" s="329" customFormat="1" ht="15.6">
      <c r="A19" s="345">
        <v>65</v>
      </c>
      <c r="B19" s="346">
        <v>1.54E-2</v>
      </c>
      <c r="C19" s="346">
        <v>1.47E-2</v>
      </c>
      <c r="D19" s="346">
        <v>1.41E-2</v>
      </c>
    </row>
    <row r="20" spans="1:4" s="329" customFormat="1" ht="15.6">
      <c r="A20" s="345">
        <v>66</v>
      </c>
      <c r="B20" s="346">
        <v>1.5100000000000001E-2</v>
      </c>
      <c r="C20" s="346">
        <v>1.44E-2</v>
      </c>
      <c r="D20" s="346">
        <v>1.37E-2</v>
      </c>
    </row>
    <row r="21" spans="1:4" s="329" customFormat="1" ht="15.6">
      <c r="A21" s="345">
        <v>67</v>
      </c>
      <c r="B21" s="346">
        <v>1.52E-2</v>
      </c>
      <c r="C21" s="346">
        <v>1.4500000000000001E-2</v>
      </c>
      <c r="D21" s="346">
        <v>1.3899999999999999E-2</v>
      </c>
    </row>
    <row r="22" spans="1:4" s="329" customFormat="1" ht="15.6">
      <c r="A22" s="345">
        <v>68</v>
      </c>
      <c r="B22" s="346">
        <v>1.5699999999999999E-2</v>
      </c>
      <c r="C22" s="346">
        <v>1.4999999999999999E-2</v>
      </c>
      <c r="D22" s="346">
        <v>1.43E-2</v>
      </c>
    </row>
    <row r="23" spans="1:4" s="329" customFormat="1" ht="15.6"/>
    <row r="24" spans="1:4" s="329" customFormat="1" ht="15.6">
      <c r="A24" s="319" t="s">
        <v>537</v>
      </c>
    </row>
    <row r="25" spans="1:4" s="329" customFormat="1" ht="15.6">
      <c r="A25" s="332" t="s">
        <v>538</v>
      </c>
    </row>
    <row r="26" spans="1:4" s="329" customFormat="1" ht="15.6">
      <c r="A26" s="332" t="s">
        <v>539</v>
      </c>
    </row>
    <row r="27" spans="1:4" s="329" customFormat="1" ht="15.6">
      <c r="A27" s="332" t="s">
        <v>540</v>
      </c>
    </row>
    <row r="28" spans="1:4" s="329" customFormat="1" ht="15.6">
      <c r="A28" s="319"/>
    </row>
    <row r="29" spans="1:4" s="329" customFormat="1" ht="15.6">
      <c r="A29" s="319" t="s">
        <v>541</v>
      </c>
    </row>
    <row r="30" spans="1:4" s="347" customFormat="1" ht="15.6">
      <c r="A30" s="347" t="s">
        <v>158</v>
      </c>
    </row>
    <row r="31" spans="1:4" s="347" customFormat="1" ht="15.6"/>
    <row r="32" spans="1:4" s="347" customFormat="1" ht="15.6"/>
    <row r="33" s="347" customFormat="1" ht="15.6"/>
    <row r="34" s="347" customFormat="1" ht="15.6"/>
    <row r="35" s="347" customFormat="1" ht="15.6"/>
    <row r="36" s="347" customFormat="1" ht="15.6"/>
    <row r="37" s="347" customFormat="1" ht="15.6"/>
    <row r="38" s="347" customFormat="1" ht="15.6"/>
    <row r="39" s="347" customFormat="1" ht="15.6"/>
    <row r="40" s="347" customFormat="1" ht="15.6"/>
    <row r="41" s="347" customFormat="1" ht="15.6"/>
    <row r="42" s="347" customFormat="1" ht="15.6"/>
    <row r="43" s="347" customFormat="1" ht="15.6"/>
    <row r="44" s="347" customFormat="1" ht="15.6"/>
    <row r="45" s="347" customFormat="1" ht="15.6"/>
    <row r="46" s="347" customFormat="1" ht="15.6"/>
    <row r="47" s="347" customFormat="1" ht="15.6"/>
    <row r="48" s="347" customFormat="1" ht="15.6"/>
    <row r="49" s="347" customFormat="1" ht="15.6"/>
    <row r="50" s="347" customFormat="1" ht="15.6"/>
    <row r="51" s="347" customFormat="1" ht="15.6"/>
    <row r="52" s="347" customFormat="1" ht="15.6"/>
    <row r="53" s="347" customFormat="1" ht="15.6"/>
    <row r="54" s="347" customFormat="1" ht="15.6"/>
    <row r="55" s="347" customFormat="1" ht="15.6"/>
    <row r="56" s="347" customFormat="1" ht="15.6"/>
    <row r="57" s="347" customFormat="1" ht="15.6"/>
    <row r="58" s="347" customFormat="1" ht="15.6"/>
    <row r="59" s="347" customFormat="1" ht="15.6"/>
    <row r="60" s="347" customFormat="1" ht="15.6"/>
    <row r="61" s="347" customFormat="1" ht="15.6"/>
    <row r="62" s="347" customFormat="1" ht="15.6"/>
    <row r="63" s="347" customFormat="1" ht="15.6"/>
    <row r="64" s="347" customFormat="1" ht="15.6"/>
    <row r="65" s="347" customFormat="1" ht="15.6"/>
    <row r="66" s="347" customFormat="1" ht="15.6"/>
    <row r="67" s="347" customFormat="1" ht="15.6"/>
    <row r="68" s="347" customFormat="1" ht="15.6"/>
    <row r="69" s="347" customFormat="1" ht="15.6"/>
    <row r="70" s="347" customFormat="1" ht="15.6"/>
    <row r="71" s="347" customFormat="1" ht="15.6"/>
    <row r="72" s="347" customFormat="1" ht="15.6"/>
    <row r="73" s="347" customFormat="1" ht="15.6"/>
    <row r="74" s="347" customFormat="1" ht="15.6"/>
    <row r="75" s="347" customFormat="1" ht="15.6"/>
    <row r="76" s="347" customFormat="1" ht="15.6"/>
    <row r="77" s="347" customFormat="1" ht="15.6"/>
    <row r="78" s="347" customFormat="1" ht="15.6"/>
    <row r="79" s="335" customFormat="1" ht="13.8"/>
    <row r="80" s="335" customFormat="1" ht="13.8"/>
    <row r="81" s="335" customFormat="1" ht="13.8"/>
    <row r="82" s="335" customFormat="1" ht="13.8"/>
    <row r="83" s="335" customFormat="1" ht="13.8"/>
    <row r="84" s="335" customFormat="1" ht="13.8"/>
    <row r="85" s="335" customFormat="1" ht="13.8"/>
    <row r="86" s="335" customFormat="1" ht="13.8"/>
    <row r="87" s="335" customFormat="1" ht="13.8"/>
    <row r="88" s="335" customFormat="1" ht="13.8"/>
    <row r="89" s="335" customFormat="1" ht="13.8"/>
    <row r="90" s="335" customFormat="1" ht="13.8"/>
    <row r="91" s="335" customFormat="1" ht="13.8"/>
    <row r="92" s="335" customFormat="1" ht="13.8"/>
    <row r="93" s="335" customFormat="1" ht="13.8"/>
  </sheetData>
  <mergeCells count="1">
    <mergeCell ref="B17:D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2358-1CBC-4191-BB10-D134BA9A3652}">
  <sheetPr>
    <tabColor theme="4" tint="0.79998168889431442"/>
  </sheetPr>
  <dimension ref="A1:J102"/>
  <sheetViews>
    <sheetView workbookViewId="0">
      <selection activeCell="F7" sqref="F7"/>
    </sheetView>
  </sheetViews>
  <sheetFormatPr defaultColWidth="8.77734375" defaultRowHeight="14.4"/>
  <cols>
    <col min="1" max="1" width="39.33203125" style="328" customWidth="1"/>
    <col min="2" max="2" width="49.5546875" style="328" customWidth="1"/>
    <col min="3" max="16384" width="8.77734375" style="328"/>
  </cols>
  <sheetData>
    <row r="1" spans="1:10" s="316" customFormat="1" ht="17.399999999999999">
      <c r="A1" s="315" t="s">
        <v>159</v>
      </c>
    </row>
    <row r="2" spans="1:10" s="316" customFormat="1" ht="15.6">
      <c r="A2" s="317" t="s">
        <v>542</v>
      </c>
    </row>
    <row r="3" spans="1:10" s="316" customFormat="1" ht="15.6">
      <c r="A3" s="317" t="s">
        <v>518</v>
      </c>
      <c r="B3" s="318"/>
      <c r="C3" s="318"/>
      <c r="D3" s="318"/>
      <c r="E3" s="318"/>
      <c r="F3" s="318"/>
      <c r="G3" s="318"/>
      <c r="H3" s="318"/>
      <c r="I3" s="318"/>
      <c r="J3" s="318"/>
    </row>
    <row r="4" spans="1:10" s="329" customFormat="1" ht="15.6"/>
    <row r="5" spans="1:10" s="329" customFormat="1" ht="15.6">
      <c r="A5" s="319" t="s">
        <v>543</v>
      </c>
    </row>
    <row r="6" spans="1:10" s="329" customFormat="1" ht="15.6">
      <c r="A6" s="348" t="s">
        <v>544</v>
      </c>
    </row>
    <row r="7" spans="1:10" s="329" customFormat="1" ht="15.6">
      <c r="A7" s="348" t="s">
        <v>545</v>
      </c>
    </row>
    <row r="8" spans="1:10" s="329" customFormat="1" ht="15.6">
      <c r="A8" s="319" t="s">
        <v>546</v>
      </c>
    </row>
    <row r="9" spans="1:10" s="329" customFormat="1" ht="16.2" thickBot="1">
      <c r="A9" s="319" t="s">
        <v>547</v>
      </c>
    </row>
    <row r="10" spans="1:10" s="329" customFormat="1" ht="16.2" thickBot="1">
      <c r="A10" s="319" t="s">
        <v>0</v>
      </c>
      <c r="B10" s="349" t="s">
        <v>548</v>
      </c>
    </row>
    <row r="11" spans="1:10" s="329" customFormat="1" ht="16.2" thickBot="1">
      <c r="A11" s="350" t="s">
        <v>549</v>
      </c>
      <c r="B11" s="351" t="s">
        <v>550</v>
      </c>
    </row>
    <row r="12" spans="1:10" s="329" customFormat="1" ht="16.2" thickBot="1">
      <c r="A12" s="352" t="s">
        <v>551</v>
      </c>
      <c r="B12" s="353">
        <v>0</v>
      </c>
    </row>
    <row r="13" spans="1:10" s="329" customFormat="1" ht="16.2" thickBot="1">
      <c r="A13" s="352" t="s">
        <v>70</v>
      </c>
      <c r="B13" s="351" t="s">
        <v>552</v>
      </c>
    </row>
    <row r="14" spans="1:10" s="329" customFormat="1" ht="31.8" thickBot="1">
      <c r="A14" s="352" t="s">
        <v>553</v>
      </c>
      <c r="B14" s="351" t="s">
        <v>554</v>
      </c>
    </row>
    <row r="15" spans="1:10" s="329" customFormat="1" ht="31.8" thickBot="1">
      <c r="A15" s="352" t="s">
        <v>555</v>
      </c>
      <c r="B15" s="351" t="s">
        <v>556</v>
      </c>
    </row>
    <row r="16" spans="1:10" s="329" customFormat="1" ht="16.2" thickBot="1">
      <c r="A16" s="352" t="s">
        <v>557</v>
      </c>
      <c r="B16" s="353">
        <v>7.0000000000000007E-2</v>
      </c>
    </row>
    <row r="17" spans="1:2" s="329" customFormat="1" ht="16.2" thickBot="1">
      <c r="A17" s="354" t="s">
        <v>558</v>
      </c>
      <c r="B17" s="353">
        <v>0.05</v>
      </c>
    </row>
    <row r="18" spans="1:2" s="329" customFormat="1" ht="15.6"/>
    <row r="19" spans="1:2" s="329" customFormat="1" ht="15.6">
      <c r="A19" s="319" t="s">
        <v>559</v>
      </c>
    </row>
    <row r="20" spans="1:2" s="355" customFormat="1" ht="15.6">
      <c r="A20" s="348" t="s">
        <v>560</v>
      </c>
    </row>
    <row r="21" spans="1:2" s="357" customFormat="1" ht="15.6">
      <c r="A21" s="356" t="s">
        <v>158</v>
      </c>
    </row>
    <row r="22" spans="1:2" s="357" customFormat="1" ht="15.6">
      <c r="A22" s="358"/>
    </row>
    <row r="23" spans="1:2" s="357" customFormat="1" ht="15.6">
      <c r="A23" s="358"/>
    </row>
    <row r="24" spans="1:2" s="357" customFormat="1" ht="15.6">
      <c r="A24" s="358"/>
    </row>
    <row r="25" spans="1:2" s="357" customFormat="1" ht="15.6">
      <c r="A25" s="358"/>
    </row>
    <row r="26" spans="1:2" s="357" customFormat="1" ht="15.6">
      <c r="A26" s="358"/>
    </row>
    <row r="27" spans="1:2" s="357" customFormat="1" ht="15.6">
      <c r="A27" s="358"/>
    </row>
    <row r="28" spans="1:2" s="329" customFormat="1" ht="15.6">
      <c r="A28" s="348" t="s">
        <v>561</v>
      </c>
    </row>
    <row r="29" spans="1:2" s="347" customFormat="1" ht="15.6">
      <c r="A29" s="347" t="s">
        <v>158</v>
      </c>
    </row>
    <row r="30" spans="1:2" s="347" customFormat="1" ht="15.6"/>
    <row r="31" spans="1:2" s="347" customFormat="1" ht="15.6"/>
    <row r="32" spans="1:2" s="347" customFormat="1" ht="15.6"/>
    <row r="33" s="347" customFormat="1" ht="15.6"/>
    <row r="34" s="347" customFormat="1" ht="15.6"/>
    <row r="35" s="347" customFormat="1" ht="15.6"/>
    <row r="36" s="347" customFormat="1" ht="15.6"/>
    <row r="37" s="347" customFormat="1" ht="15.6"/>
    <row r="38" s="347" customFormat="1" ht="15.6"/>
    <row r="39" s="347" customFormat="1" ht="15.6"/>
    <row r="40" s="347" customFormat="1" ht="15.6"/>
    <row r="41" s="347" customFormat="1" ht="15.6"/>
    <row r="42" s="347" customFormat="1" ht="15.6"/>
    <row r="43" s="347" customFormat="1" ht="15.6"/>
    <row r="44" s="347" customFormat="1" ht="15.6"/>
    <row r="45" s="347" customFormat="1" ht="15.6"/>
    <row r="46" s="347" customFormat="1" ht="15.6"/>
    <row r="47" s="347" customFormat="1" ht="15.6"/>
    <row r="48" s="347" customFormat="1" ht="15.6"/>
    <row r="49" s="347" customFormat="1" ht="15.6"/>
    <row r="50" s="347" customFormat="1" ht="15.6"/>
    <row r="51" s="347" customFormat="1" ht="15.6"/>
    <row r="52" s="347" customFormat="1" ht="15.6"/>
    <row r="53" s="347" customFormat="1" ht="15.6"/>
    <row r="54" s="347" customFormat="1" ht="15.6"/>
    <row r="55" s="347" customFormat="1" ht="15.6"/>
    <row r="56" s="347" customFormat="1" ht="15.6"/>
    <row r="57" s="347" customFormat="1" ht="15.6"/>
    <row r="58" s="347" customFormat="1" ht="15.6"/>
    <row r="59" s="347" customFormat="1" ht="15.6"/>
    <row r="60" s="347" customFormat="1" ht="15.6"/>
    <row r="61" s="347" customFormat="1" ht="15.6"/>
    <row r="62" s="347" customFormat="1" ht="15.6"/>
    <row r="63" s="347" customFormat="1" ht="15.6"/>
    <row r="64" s="347" customFormat="1" ht="15.6"/>
    <row r="65" s="347" customFormat="1" ht="15.6"/>
    <row r="66" s="347" customFormat="1" ht="15.6"/>
    <row r="67" s="347" customFormat="1" ht="15.6"/>
    <row r="68" s="347" customFormat="1" ht="15.6"/>
    <row r="69" s="347" customFormat="1" ht="15.6"/>
    <row r="70" s="347" customFormat="1" ht="15.6"/>
    <row r="71" s="347" customFormat="1" ht="15.6"/>
    <row r="72" s="347" customFormat="1" ht="15.6"/>
    <row r="73" s="347" customFormat="1" ht="15.6"/>
    <row r="74" s="347" customFormat="1" ht="15.6"/>
    <row r="75" s="347" customFormat="1" ht="15.6"/>
    <row r="76" s="347" customFormat="1" ht="15.6"/>
    <row r="77" s="347" customFormat="1" ht="15.6"/>
    <row r="78" s="347" customFormat="1" ht="15.6"/>
    <row r="79" s="347" customFormat="1" ht="15.6"/>
    <row r="80" s="347" customFormat="1" ht="15.6"/>
    <row r="81" s="347" customFormat="1" ht="15.6"/>
    <row r="82" s="347" customFormat="1" ht="15.6"/>
    <row r="83" s="347" customFormat="1" ht="15.6"/>
    <row r="84" s="347" customFormat="1" ht="15.6"/>
    <row r="85" s="347" customFormat="1" ht="15.6"/>
    <row r="86" s="347" customFormat="1" ht="15.6"/>
    <row r="87" s="347" customFormat="1" ht="15.6"/>
    <row r="88" s="347" customFormat="1" ht="15.6"/>
    <row r="89" s="347" customFormat="1" ht="15.6"/>
    <row r="90" s="347" customFormat="1" ht="15.6"/>
    <row r="91" s="347" customFormat="1" ht="15.6"/>
    <row r="92" s="347" customFormat="1" ht="15.6"/>
    <row r="93" s="347" customFormat="1" ht="15.6"/>
    <row r="94" s="347" customFormat="1" ht="15.6"/>
    <row r="95" s="347" customFormat="1" ht="15.6"/>
    <row r="96" s="347" customFormat="1" ht="15.6"/>
    <row r="97" s="347" customFormat="1" ht="15.6"/>
    <row r="98" s="347" customFormat="1" ht="15.6"/>
    <row r="99" s="347" customFormat="1" ht="15.6"/>
    <row r="100" s="347" customFormat="1" ht="15.6"/>
    <row r="101" s="347" customFormat="1" ht="15.6"/>
    <row r="102" s="347" customFormat="1" ht="15.6"/>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E5FF1-8B83-4F79-A915-F9911807FD56}">
  <sheetPr>
    <tabColor theme="4" tint="0.79998168889431442"/>
  </sheetPr>
  <dimension ref="A1:J60"/>
  <sheetViews>
    <sheetView workbookViewId="0">
      <selection activeCell="F7" sqref="F7"/>
    </sheetView>
  </sheetViews>
  <sheetFormatPr defaultColWidth="8.77734375" defaultRowHeight="14.4"/>
  <cols>
    <col min="1" max="1" width="46.109375" style="328" customWidth="1"/>
    <col min="2" max="2" width="62.88671875" style="328" customWidth="1"/>
    <col min="3" max="16384" width="8.77734375" style="328"/>
  </cols>
  <sheetData>
    <row r="1" spans="1:10" s="316" customFormat="1" ht="17.399999999999999">
      <c r="A1" s="315" t="s">
        <v>562</v>
      </c>
    </row>
    <row r="2" spans="1:10" s="316" customFormat="1" ht="15.6">
      <c r="A2" s="317" t="s">
        <v>109</v>
      </c>
    </row>
    <row r="3" spans="1:10" s="316" customFormat="1" ht="15.6">
      <c r="A3" s="317" t="s">
        <v>563</v>
      </c>
      <c r="B3" s="318"/>
      <c r="C3" s="318"/>
      <c r="D3" s="318"/>
      <c r="E3" s="318"/>
      <c r="F3" s="318"/>
      <c r="G3" s="318"/>
      <c r="H3" s="318"/>
      <c r="I3" s="318"/>
      <c r="J3" s="318"/>
    </row>
    <row r="4" spans="1:10" s="330" customFormat="1" ht="15.6">
      <c r="A4" s="317"/>
      <c r="B4" s="359"/>
      <c r="C4" s="359"/>
      <c r="D4" s="359"/>
      <c r="E4" s="359"/>
      <c r="F4" s="359"/>
      <c r="G4" s="359"/>
      <c r="H4" s="359"/>
      <c r="I4" s="359"/>
      <c r="J4" s="359"/>
    </row>
    <row r="5" spans="1:10" s="330" customFormat="1" ht="15.6">
      <c r="A5" s="319" t="s">
        <v>564</v>
      </c>
    </row>
    <row r="6" spans="1:10" s="330" customFormat="1" ht="15.6">
      <c r="A6" s="360" t="s">
        <v>565</v>
      </c>
    </row>
    <row r="7" spans="1:10" s="330" customFormat="1" ht="15.6">
      <c r="A7" s="360" t="s">
        <v>566</v>
      </c>
    </row>
    <row r="8" spans="1:10" s="330" customFormat="1" ht="15.6">
      <c r="A8" s="360" t="s">
        <v>567</v>
      </c>
    </row>
    <row r="9" spans="1:10" s="330" customFormat="1" ht="15.6">
      <c r="A9" s="360"/>
    </row>
    <row r="10" spans="1:10" s="330" customFormat="1" ht="15.6">
      <c r="A10" s="319" t="s">
        <v>568</v>
      </c>
    </row>
    <row r="11" spans="1:10" s="330" customFormat="1" ht="16.2" thickBot="1">
      <c r="A11" s="361"/>
    </row>
    <row r="12" spans="1:10" s="330" customFormat="1" ht="16.2" thickBot="1">
      <c r="A12" s="349" t="s">
        <v>569</v>
      </c>
      <c r="B12" s="362"/>
    </row>
    <row r="13" spans="1:10" s="330" customFormat="1" ht="31.8" thickBot="1">
      <c r="A13" s="363" t="s">
        <v>570</v>
      </c>
      <c r="B13" s="351" t="s">
        <v>571</v>
      </c>
    </row>
    <row r="14" spans="1:10" s="330" customFormat="1" ht="16.2" thickBot="1">
      <c r="A14" s="363" t="s">
        <v>572</v>
      </c>
      <c r="B14" s="353" t="s">
        <v>573</v>
      </c>
    </row>
    <row r="15" spans="1:10" s="330" customFormat="1" ht="16.2" thickBot="1">
      <c r="A15" s="363" t="s">
        <v>574</v>
      </c>
      <c r="B15" s="364">
        <v>1000</v>
      </c>
    </row>
    <row r="16" spans="1:10" s="330" customFormat="1" ht="16.2" thickBot="1">
      <c r="A16" s="363" t="s">
        <v>575</v>
      </c>
      <c r="B16" s="351" t="s">
        <v>576</v>
      </c>
    </row>
    <row r="17" spans="1:2" s="330" customFormat="1" ht="16.2" thickBot="1">
      <c r="A17" s="363" t="s">
        <v>577</v>
      </c>
      <c r="B17" s="351">
        <v>300</v>
      </c>
    </row>
    <row r="18" spans="1:2" s="330" customFormat="1" ht="15.6">
      <c r="A18" s="361"/>
    </row>
    <row r="19" spans="1:2" s="330" customFormat="1" ht="15.6">
      <c r="A19" s="319" t="s">
        <v>578</v>
      </c>
    </row>
    <row r="20" spans="1:2" s="335" customFormat="1" ht="13.8">
      <c r="A20" s="335" t="s">
        <v>158</v>
      </c>
    </row>
    <row r="21" spans="1:2" s="335" customFormat="1" ht="13.8"/>
    <row r="22" spans="1:2" s="335" customFormat="1" ht="13.8"/>
    <row r="23" spans="1:2" s="335" customFormat="1" ht="13.8"/>
    <row r="24" spans="1:2" s="335" customFormat="1" ht="13.8"/>
    <row r="25" spans="1:2" s="335" customFormat="1" ht="13.8"/>
    <row r="26" spans="1:2" s="335" customFormat="1" ht="13.8"/>
    <row r="27" spans="1:2" s="335" customFormat="1" ht="13.8"/>
    <row r="28" spans="1:2" s="335" customFormat="1" ht="13.8"/>
    <row r="29" spans="1:2" s="335" customFormat="1" ht="13.8"/>
    <row r="30" spans="1:2" s="335" customFormat="1" ht="13.8"/>
    <row r="31" spans="1:2" s="335" customFormat="1" ht="13.8"/>
    <row r="32" spans="1:2" s="335" customFormat="1" ht="13.8"/>
    <row r="33" s="335" customFormat="1" ht="13.8"/>
    <row r="34" s="335" customFormat="1" ht="13.8"/>
    <row r="35" s="335" customFormat="1" ht="13.8"/>
    <row r="36" s="335" customFormat="1" ht="13.8"/>
    <row r="37" s="335" customFormat="1" ht="13.8"/>
    <row r="38" s="335" customFormat="1" ht="13.8"/>
    <row r="39" s="335" customFormat="1" ht="13.8"/>
    <row r="40" s="335" customFormat="1" ht="13.8"/>
    <row r="41" s="335" customFormat="1" ht="13.8"/>
    <row r="42" s="335" customFormat="1" ht="13.8"/>
    <row r="43" s="335" customFormat="1" ht="13.8"/>
    <row r="44" s="335" customFormat="1" ht="13.8"/>
    <row r="45" s="335" customFormat="1" ht="13.8"/>
    <row r="46" s="335" customFormat="1" ht="13.8"/>
    <row r="47" s="335" customFormat="1" ht="13.8"/>
    <row r="48" s="335" customFormat="1" ht="13.8"/>
    <row r="49" s="335" customFormat="1" ht="13.8"/>
    <row r="50" s="335" customFormat="1" ht="13.8"/>
    <row r="51" s="335" customFormat="1" ht="13.8"/>
    <row r="52" s="335" customFormat="1" ht="13.8"/>
    <row r="53" s="335" customFormat="1" ht="13.8"/>
    <row r="54" s="335" customFormat="1" ht="13.8"/>
    <row r="55" s="335" customFormat="1" ht="13.8"/>
    <row r="56" s="335" customFormat="1" ht="13.8"/>
    <row r="57" s="335" customFormat="1" ht="13.8"/>
    <row r="58" s="335" customFormat="1" ht="13.8"/>
    <row r="59" s="335" customFormat="1" ht="13.8"/>
    <row r="60" s="335" customFormat="1" ht="13.8"/>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14A08-A50C-472C-9BC3-DA64275D3DB4}">
  <sheetPr>
    <tabColor theme="8" tint="0.79998168889431442"/>
  </sheetPr>
  <dimension ref="A1:N31"/>
  <sheetViews>
    <sheetView topLeftCell="A6" workbookViewId="0">
      <selection activeCell="B14" sqref="B14"/>
    </sheetView>
  </sheetViews>
  <sheetFormatPr defaultColWidth="8.77734375" defaultRowHeight="14.4"/>
  <cols>
    <col min="1" max="1" width="16.21875" style="40" customWidth="1"/>
    <col min="2" max="2" width="14.21875" style="40" customWidth="1"/>
    <col min="3" max="16384" width="8.77734375" style="40"/>
  </cols>
  <sheetData>
    <row r="1" spans="1:14" ht="17.399999999999999">
      <c r="A1" s="88" t="s">
        <v>4</v>
      </c>
      <c r="B1" s="89"/>
      <c r="C1" s="89"/>
      <c r="D1" s="89"/>
      <c r="E1" s="89"/>
      <c r="F1" s="89"/>
      <c r="G1" s="89"/>
      <c r="H1" s="89"/>
      <c r="I1" s="89"/>
      <c r="J1" s="89"/>
      <c r="K1" s="89"/>
      <c r="L1" s="89"/>
      <c r="M1" s="89"/>
      <c r="N1" s="89"/>
    </row>
    <row r="2" spans="1:14" ht="15.6">
      <c r="A2" s="90" t="s">
        <v>5</v>
      </c>
      <c r="B2" s="89"/>
      <c r="C2" s="89"/>
      <c r="D2" s="89"/>
      <c r="E2" s="89"/>
      <c r="F2" s="89"/>
      <c r="G2" s="89"/>
      <c r="H2" s="89"/>
      <c r="I2" s="89"/>
      <c r="J2" s="89"/>
      <c r="K2" s="89"/>
      <c r="L2" s="89"/>
      <c r="M2" s="89"/>
      <c r="N2" s="89"/>
    </row>
    <row r="3" spans="1:14" ht="15.6">
      <c r="A3" s="90" t="s">
        <v>6</v>
      </c>
      <c r="B3" s="91"/>
      <c r="C3" s="91"/>
      <c r="D3" s="91"/>
      <c r="E3" s="91"/>
      <c r="F3" s="91"/>
      <c r="G3" s="91"/>
      <c r="H3" s="91"/>
      <c r="I3" s="91"/>
      <c r="J3" s="91"/>
      <c r="K3" s="89"/>
      <c r="L3" s="89"/>
      <c r="M3" s="89"/>
      <c r="N3" s="89"/>
    </row>
    <row r="4" spans="1:14" ht="15.6">
      <c r="A4" s="90"/>
      <c r="B4" s="91"/>
      <c r="C4" s="91"/>
      <c r="D4" s="91"/>
      <c r="E4" s="91"/>
      <c r="F4" s="91"/>
      <c r="G4" s="91"/>
      <c r="H4" s="91"/>
      <c r="I4" s="91"/>
      <c r="J4" s="91"/>
      <c r="K4" s="89"/>
      <c r="L4" s="89"/>
      <c r="M4" s="89"/>
      <c r="N4" s="89"/>
    </row>
    <row r="5" spans="1:14">
      <c r="A5" s="89"/>
      <c r="B5" s="89"/>
      <c r="C5" s="89"/>
      <c r="D5" s="89"/>
      <c r="E5" s="89"/>
      <c r="F5" s="89"/>
      <c r="G5" s="89"/>
      <c r="H5" s="89"/>
      <c r="I5" s="89"/>
      <c r="J5" s="89"/>
      <c r="K5" s="89"/>
      <c r="L5" s="89"/>
      <c r="M5" s="89"/>
      <c r="N5" s="89"/>
    </row>
    <row r="6" spans="1:14" ht="15.6">
      <c r="A6" s="92" t="s">
        <v>7</v>
      </c>
      <c r="B6" s="89"/>
      <c r="C6" s="89"/>
      <c r="D6" s="89"/>
      <c r="E6" s="89"/>
      <c r="F6" s="89"/>
      <c r="G6" s="89"/>
      <c r="H6" s="89"/>
      <c r="I6" s="89"/>
      <c r="J6" s="89"/>
      <c r="K6" s="89"/>
      <c r="L6" s="89"/>
      <c r="M6" s="89"/>
      <c r="N6" s="89"/>
    </row>
    <row r="7" spans="1:14" ht="15.6">
      <c r="A7" s="93" t="s">
        <v>8</v>
      </c>
      <c r="B7" s="89"/>
      <c r="C7" s="89"/>
      <c r="D7" s="89"/>
      <c r="E7" s="89"/>
      <c r="F7" s="89"/>
      <c r="G7" s="89"/>
      <c r="H7" s="89"/>
      <c r="I7" s="89"/>
      <c r="J7" s="89"/>
      <c r="K7" s="89"/>
      <c r="L7" s="89"/>
      <c r="M7" s="89"/>
      <c r="N7" s="89"/>
    </row>
    <row r="8" spans="1:14" ht="16.2" thickBot="1">
      <c r="A8" s="94"/>
      <c r="B8" s="89"/>
      <c r="C8" s="89"/>
      <c r="D8" s="89"/>
      <c r="E8" s="89"/>
      <c r="F8" s="89"/>
      <c r="G8" s="89"/>
      <c r="H8" s="89"/>
      <c r="I8" s="89"/>
      <c r="J8" s="89"/>
      <c r="K8" s="89"/>
      <c r="L8" s="89"/>
      <c r="M8" s="89"/>
      <c r="N8" s="89"/>
    </row>
    <row r="9" spans="1:14" ht="31.8" thickBot="1">
      <c r="A9" s="95" t="s">
        <v>9</v>
      </c>
      <c r="B9" s="96" t="s">
        <v>10</v>
      </c>
      <c r="C9" s="89"/>
      <c r="D9" s="89"/>
      <c r="E9" s="89"/>
      <c r="F9" s="89"/>
      <c r="G9" s="89"/>
      <c r="H9" s="89"/>
      <c r="I9" s="89"/>
      <c r="J9" s="89"/>
      <c r="K9" s="89"/>
      <c r="L9" s="89"/>
      <c r="M9" s="89"/>
      <c r="N9" s="89"/>
    </row>
    <row r="10" spans="1:14" ht="16.2" thickBot="1">
      <c r="A10" s="97" t="s">
        <v>11</v>
      </c>
      <c r="B10" s="98">
        <v>390</v>
      </c>
      <c r="C10" s="89"/>
      <c r="D10" s="89"/>
      <c r="E10" s="89"/>
      <c r="F10" s="89"/>
      <c r="G10" s="89"/>
      <c r="H10" s="89"/>
      <c r="I10" s="89"/>
      <c r="J10" s="89"/>
      <c r="K10" s="89"/>
      <c r="L10" s="89"/>
      <c r="M10" s="89"/>
      <c r="N10" s="89"/>
    </row>
    <row r="11" spans="1:14" ht="16.2" thickBot="1">
      <c r="A11" s="97" t="s">
        <v>12</v>
      </c>
      <c r="B11" s="98">
        <v>200</v>
      </c>
      <c r="C11" s="89"/>
      <c r="D11" s="89"/>
      <c r="E11" s="89"/>
      <c r="F11" s="89"/>
      <c r="G11" s="89"/>
      <c r="H11" s="89"/>
      <c r="I11" s="89"/>
      <c r="J11" s="89"/>
      <c r="K11" s="89"/>
      <c r="L11" s="89"/>
      <c r="M11" s="89"/>
      <c r="N11" s="89"/>
    </row>
    <row r="12" spans="1:14" ht="16.2" thickBot="1">
      <c r="A12" s="97" t="s">
        <v>13</v>
      </c>
      <c r="B12" s="98">
        <v>325</v>
      </c>
      <c r="C12" s="89"/>
      <c r="D12" s="89"/>
      <c r="E12" s="89"/>
      <c r="F12" s="89"/>
      <c r="G12" s="89"/>
      <c r="H12" s="89"/>
      <c r="I12" s="89"/>
      <c r="J12" s="89"/>
      <c r="K12" s="89"/>
      <c r="L12" s="89"/>
      <c r="M12" s="89"/>
      <c r="N12" s="89"/>
    </row>
    <row r="13" spans="1:14" ht="16.2" thickBot="1">
      <c r="A13" s="99"/>
      <c r="B13" s="100"/>
      <c r="C13" s="89"/>
      <c r="D13" s="89"/>
      <c r="E13" s="89"/>
      <c r="F13" s="89"/>
      <c r="G13" s="89"/>
      <c r="H13" s="89"/>
      <c r="I13" s="89"/>
      <c r="J13" s="89"/>
      <c r="K13" s="89"/>
      <c r="L13" s="89"/>
      <c r="M13" s="89"/>
      <c r="N13" s="89"/>
    </row>
    <row r="14" spans="1:14" ht="31.8" thickBot="1">
      <c r="A14" s="101" t="s">
        <v>14</v>
      </c>
      <c r="B14" s="102" t="s">
        <v>15</v>
      </c>
      <c r="C14" s="89"/>
      <c r="D14" s="89"/>
      <c r="E14" s="89"/>
      <c r="F14" s="89"/>
      <c r="G14" s="89"/>
      <c r="H14" s="89"/>
      <c r="I14" s="89"/>
      <c r="J14" s="89"/>
      <c r="K14" s="89"/>
      <c r="L14" s="89"/>
      <c r="M14" s="89"/>
      <c r="N14" s="89"/>
    </row>
    <row r="15" spans="1:14" ht="16.2" thickBot="1">
      <c r="A15" s="97" t="s">
        <v>16</v>
      </c>
      <c r="B15" s="98">
        <v>460</v>
      </c>
      <c r="C15" s="89"/>
      <c r="D15" s="89"/>
      <c r="E15" s="89"/>
      <c r="F15" s="89"/>
      <c r="G15" s="89"/>
      <c r="H15" s="89"/>
      <c r="I15" s="89"/>
      <c r="J15" s="89"/>
      <c r="K15" s="89"/>
      <c r="L15" s="89"/>
      <c r="M15" s="89"/>
      <c r="N15" s="89"/>
    </row>
    <row r="16" spans="1:14" ht="16.2" thickBot="1">
      <c r="A16" s="97" t="s">
        <v>17</v>
      </c>
      <c r="B16" s="98">
        <v>520</v>
      </c>
      <c r="C16" s="89"/>
      <c r="D16" s="89"/>
      <c r="E16" s="89"/>
      <c r="F16" s="89"/>
      <c r="G16" s="89"/>
      <c r="H16" s="89"/>
      <c r="I16" s="89"/>
      <c r="J16" s="89"/>
      <c r="K16" s="89"/>
      <c r="L16" s="89"/>
      <c r="M16" s="89"/>
      <c r="N16" s="89"/>
    </row>
    <row r="17" spans="1:14" ht="16.2" thickBot="1">
      <c r="A17" s="97" t="s">
        <v>18</v>
      </c>
      <c r="B17" s="98">
        <v>600</v>
      </c>
      <c r="C17" s="89"/>
      <c r="D17" s="89"/>
      <c r="E17" s="89"/>
      <c r="F17" s="89"/>
      <c r="G17" s="89"/>
      <c r="H17" s="89"/>
      <c r="I17" s="89"/>
      <c r="J17" s="89"/>
      <c r="K17" s="89"/>
      <c r="L17" s="89"/>
      <c r="M17" s="89"/>
      <c r="N17" s="89"/>
    </row>
    <row r="18" spans="1:14" ht="16.2" thickBot="1">
      <c r="A18" s="97" t="s">
        <v>19</v>
      </c>
      <c r="B18" s="98">
        <v>700</v>
      </c>
      <c r="C18" s="89"/>
      <c r="D18" s="89"/>
      <c r="E18" s="89"/>
      <c r="F18" s="89"/>
      <c r="G18" s="89"/>
      <c r="H18" s="89"/>
      <c r="I18" s="89"/>
      <c r="J18" s="89"/>
      <c r="K18" s="89"/>
      <c r="L18" s="89"/>
      <c r="M18" s="89"/>
      <c r="N18" s="89"/>
    </row>
    <row r="19" spans="1:14" ht="15.6">
      <c r="A19" s="68"/>
    </row>
    <row r="20" spans="1:14">
      <c r="A20" s="59"/>
    </row>
    <row r="21" spans="1:14" s="105" customFormat="1" ht="15.6">
      <c r="A21" s="103" t="s">
        <v>20</v>
      </c>
      <c r="B21" s="104"/>
      <c r="C21" s="104"/>
      <c r="D21" s="104"/>
      <c r="E21" s="104"/>
      <c r="F21" s="104"/>
      <c r="G21" s="104"/>
      <c r="H21" s="104"/>
      <c r="I21" s="104"/>
      <c r="J21" s="104"/>
      <c r="K21" s="104"/>
      <c r="L21" s="104"/>
      <c r="M21" s="104"/>
      <c r="N21" s="104"/>
    </row>
    <row r="22" spans="1:14" s="105" customFormat="1" ht="15.6">
      <c r="A22" s="58"/>
    </row>
    <row r="23" spans="1:14" s="107" customFormat="1" ht="15.6">
      <c r="A23" s="106" t="s">
        <v>21</v>
      </c>
    </row>
    <row r="24" spans="1:14" s="105" customFormat="1" ht="15.6">
      <c r="A24" s="58" t="s">
        <v>22</v>
      </c>
    </row>
    <row r="25" spans="1:14" s="105" customFormat="1" ht="15.6">
      <c r="A25" s="58"/>
    </row>
    <row r="26" spans="1:14" s="107" customFormat="1" ht="15.6">
      <c r="A26" s="106" t="s">
        <v>23</v>
      </c>
    </row>
    <row r="27" spans="1:14" s="105" customFormat="1" ht="15.6">
      <c r="A27" s="58" t="s">
        <v>22</v>
      </c>
    </row>
    <row r="28" spans="1:14" s="105" customFormat="1" ht="15.6">
      <c r="A28" s="58"/>
    </row>
    <row r="29" spans="1:14" s="107" customFormat="1" ht="15.6">
      <c r="A29" s="106" t="s">
        <v>24</v>
      </c>
    </row>
    <row r="30" spans="1:14" s="105" customFormat="1" ht="15.6">
      <c r="A30" s="58" t="s">
        <v>22</v>
      </c>
    </row>
    <row r="31" spans="1:14" s="105" customFormat="1" ht="15.6"/>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40CCB-8D3A-4490-A8A9-C48EDE5C1776}">
  <sheetPr>
    <tabColor theme="4" tint="0.59999389629810485"/>
    <pageSetUpPr fitToPage="1"/>
  </sheetPr>
  <dimension ref="B2:N52"/>
  <sheetViews>
    <sheetView zoomScale="130" zoomScaleNormal="130" workbookViewId="0">
      <selection activeCell="C10" sqref="C10:F10"/>
    </sheetView>
  </sheetViews>
  <sheetFormatPr defaultRowHeight="13.2"/>
  <cols>
    <col min="3" max="3" width="28.33203125" bestFit="1" customWidth="1"/>
    <col min="4" max="5" width="10.44140625" bestFit="1" customWidth="1"/>
    <col min="6" max="6" width="12" bestFit="1" customWidth="1"/>
    <col min="7" max="13" width="9.44140625" bestFit="1" customWidth="1"/>
    <col min="15" max="19" width="1.33203125" customWidth="1"/>
  </cols>
  <sheetData>
    <row r="2" spans="2:12">
      <c r="B2" s="385" t="s">
        <v>629</v>
      </c>
      <c r="C2" s="2" t="s">
        <v>630</v>
      </c>
    </row>
    <row r="3" spans="2:12" ht="42.75" customHeight="1">
      <c r="C3" s="768" t="s">
        <v>631</v>
      </c>
      <c r="D3" s="768"/>
      <c r="E3" s="768"/>
      <c r="F3" s="768"/>
      <c r="G3" s="768"/>
      <c r="H3" s="768"/>
      <c r="I3" s="768"/>
      <c r="J3" s="768"/>
      <c r="K3" s="768"/>
      <c r="L3" s="768"/>
    </row>
    <row r="5" spans="2:12">
      <c r="C5" s="2" t="s">
        <v>568</v>
      </c>
    </row>
    <row r="7" spans="2:12">
      <c r="C7" s="386" t="s">
        <v>569</v>
      </c>
      <c r="D7" s="387"/>
      <c r="E7" s="387"/>
      <c r="F7" s="387"/>
      <c r="G7" s="387"/>
      <c r="H7" s="387"/>
      <c r="I7" s="387"/>
      <c r="J7" s="387"/>
      <c r="K7" s="387"/>
      <c r="L7" s="388"/>
    </row>
    <row r="8" spans="2:12">
      <c r="C8" s="769" t="s">
        <v>570</v>
      </c>
      <c r="D8" s="769"/>
      <c r="E8" s="769"/>
      <c r="F8" s="769"/>
      <c r="G8" s="769" t="s">
        <v>632</v>
      </c>
      <c r="H8" s="769"/>
      <c r="I8" s="769"/>
      <c r="J8" s="769"/>
      <c r="K8" s="769"/>
      <c r="L8" s="769"/>
    </row>
    <row r="9" spans="2:12">
      <c r="C9" s="766" t="s">
        <v>572</v>
      </c>
      <c r="D9" s="766"/>
      <c r="E9" s="766"/>
      <c r="F9" s="766"/>
      <c r="G9" s="766" t="s">
        <v>573</v>
      </c>
      <c r="H9" s="766"/>
      <c r="I9" s="766"/>
      <c r="J9" s="766"/>
      <c r="K9" s="766"/>
      <c r="L9" s="766"/>
    </row>
    <row r="10" spans="2:12">
      <c r="C10" s="766" t="s">
        <v>574</v>
      </c>
      <c r="D10" s="766"/>
      <c r="E10" s="766"/>
      <c r="F10" s="766"/>
      <c r="G10" s="766">
        <v>1000</v>
      </c>
      <c r="H10" s="766"/>
      <c r="I10" s="766"/>
      <c r="J10" s="766"/>
      <c r="K10" s="766"/>
      <c r="L10" s="766"/>
    </row>
    <row r="11" spans="2:12">
      <c r="C11" s="766" t="s">
        <v>633</v>
      </c>
      <c r="D11" s="766"/>
      <c r="E11" s="766"/>
      <c r="F11" s="766"/>
      <c r="G11" s="766" t="s">
        <v>634</v>
      </c>
      <c r="H11" s="766"/>
      <c r="I11" s="766"/>
      <c r="J11" s="766"/>
      <c r="K11" s="766"/>
      <c r="L11" s="766"/>
    </row>
    <row r="12" spans="2:12">
      <c r="C12" s="766" t="s">
        <v>577</v>
      </c>
      <c r="D12" s="766"/>
      <c r="E12" s="766"/>
      <c r="F12" s="766"/>
      <c r="G12" s="766">
        <v>300</v>
      </c>
      <c r="H12" s="766"/>
      <c r="I12" s="766"/>
      <c r="J12" s="766"/>
      <c r="K12" s="766"/>
      <c r="L12" s="766"/>
    </row>
    <row r="13" spans="2:12">
      <c r="C13" s="2"/>
    </row>
    <row r="14" spans="2:12">
      <c r="C14" s="2" t="s">
        <v>635</v>
      </c>
    </row>
    <row r="15" spans="2:12">
      <c r="C15" s="2"/>
    </row>
    <row r="16" spans="2:12">
      <c r="C16" s="2"/>
    </row>
    <row r="17" spans="2:14">
      <c r="C17" s="1" t="s">
        <v>636</v>
      </c>
    </row>
    <row r="18" spans="2:14" ht="50.25" customHeight="1">
      <c r="C18" s="767" t="s">
        <v>637</v>
      </c>
      <c r="D18" s="767"/>
      <c r="E18" s="767"/>
      <c r="F18" s="767"/>
      <c r="G18" s="767"/>
      <c r="H18" s="767"/>
      <c r="I18" s="767"/>
      <c r="J18" s="767"/>
      <c r="K18" s="767"/>
      <c r="L18" s="767"/>
    </row>
    <row r="21" spans="2:14">
      <c r="B21" s="2" t="s">
        <v>629</v>
      </c>
      <c r="C21" s="2" t="s">
        <v>638</v>
      </c>
      <c r="D21" s="389">
        <v>0.05</v>
      </c>
      <c r="E21" s="2"/>
      <c r="F21" s="2"/>
      <c r="G21" s="2"/>
      <c r="H21" s="2"/>
      <c r="I21" s="2"/>
      <c r="J21" s="2"/>
      <c r="K21" s="2"/>
      <c r="L21" s="2"/>
      <c r="M21" s="2"/>
      <c r="N21" s="2"/>
    </row>
    <row r="22" spans="2:14">
      <c r="B22" s="2"/>
      <c r="C22" s="2" t="s">
        <v>639</v>
      </c>
      <c r="D22" s="389">
        <v>0.03</v>
      </c>
      <c r="E22" s="2"/>
      <c r="F22" s="2"/>
      <c r="G22" s="2"/>
      <c r="H22" s="2"/>
      <c r="I22" s="2"/>
      <c r="J22" s="2"/>
      <c r="K22" s="2"/>
      <c r="L22" s="2"/>
      <c r="M22" s="2"/>
      <c r="N22" s="2"/>
    </row>
    <row r="23" spans="2:14">
      <c r="B23" s="2"/>
      <c r="C23" s="2" t="s">
        <v>640</v>
      </c>
      <c r="D23" s="389">
        <f>4%*1+0*5%</f>
        <v>0.04</v>
      </c>
      <c r="E23" s="2"/>
      <c r="F23" s="2"/>
      <c r="G23" s="2"/>
      <c r="H23" s="2"/>
      <c r="I23" s="2"/>
      <c r="J23" s="2"/>
      <c r="K23" s="2"/>
      <c r="L23" s="2"/>
      <c r="M23" s="2"/>
      <c r="N23" s="2"/>
    </row>
    <row r="24" spans="2:14">
      <c r="B24" s="2"/>
      <c r="C24" s="2"/>
      <c r="D24" s="2"/>
      <c r="E24" s="2"/>
      <c r="F24" s="2"/>
      <c r="G24" s="2"/>
      <c r="H24" s="2"/>
      <c r="I24" s="2"/>
      <c r="J24" s="2"/>
      <c r="K24" s="2"/>
      <c r="L24" s="2"/>
      <c r="M24" s="2"/>
      <c r="N24" s="2"/>
    </row>
    <row r="25" spans="2:14">
      <c r="B25" s="2"/>
      <c r="C25" s="2" t="s">
        <v>641</v>
      </c>
      <c r="D25" s="2">
        <v>1</v>
      </c>
      <c r="E25" s="2">
        <v>2</v>
      </c>
      <c r="F25" s="2">
        <v>3</v>
      </c>
      <c r="G25" s="2">
        <v>4</v>
      </c>
      <c r="H25" s="2">
        <v>5</v>
      </c>
      <c r="I25" s="2">
        <v>6</v>
      </c>
      <c r="J25" s="2">
        <v>7</v>
      </c>
      <c r="K25" s="2">
        <v>8</v>
      </c>
      <c r="L25" s="2">
        <v>9</v>
      </c>
      <c r="M25" s="2">
        <v>10</v>
      </c>
      <c r="N25" s="2"/>
    </row>
    <row r="26" spans="2:14">
      <c r="B26" s="2"/>
      <c r="C26" s="2" t="s">
        <v>642</v>
      </c>
      <c r="D26" s="2">
        <v>1000</v>
      </c>
      <c r="E26" s="2">
        <v>1000</v>
      </c>
      <c r="F26" s="2">
        <v>1000</v>
      </c>
      <c r="G26" s="2">
        <v>1000</v>
      </c>
      <c r="H26" s="2">
        <v>1000</v>
      </c>
      <c r="I26" s="2">
        <v>1000</v>
      </c>
      <c r="J26" s="2">
        <v>1000</v>
      </c>
      <c r="K26" s="2">
        <v>1000</v>
      </c>
      <c r="L26" s="2">
        <v>1000</v>
      </c>
      <c r="M26" s="2">
        <v>1000</v>
      </c>
      <c r="N26" s="2"/>
    </row>
    <row r="27" spans="2:14">
      <c r="B27" s="2"/>
      <c r="C27" s="2" t="s">
        <v>643</v>
      </c>
      <c r="D27" s="390">
        <v>400</v>
      </c>
      <c r="E27" s="390">
        <f t="shared" ref="E27:M27" si="0">D27*(1+$D$21)</f>
        <v>420</v>
      </c>
      <c r="F27" s="390">
        <f t="shared" si="0"/>
        <v>441</v>
      </c>
      <c r="G27" s="390">
        <f t="shared" si="0"/>
        <v>463.05</v>
      </c>
      <c r="H27" s="390">
        <f t="shared" si="0"/>
        <v>486.20250000000004</v>
      </c>
      <c r="I27" s="390">
        <f t="shared" si="0"/>
        <v>510.51262500000007</v>
      </c>
      <c r="J27" s="390">
        <f t="shared" si="0"/>
        <v>536.03825625000013</v>
      </c>
      <c r="K27" s="390">
        <f t="shared" si="0"/>
        <v>562.84016906250019</v>
      </c>
      <c r="L27" s="390">
        <f t="shared" si="0"/>
        <v>590.98217751562527</v>
      </c>
      <c r="M27" s="390">
        <f t="shared" si="0"/>
        <v>620.53128639140652</v>
      </c>
      <c r="N27" s="2"/>
    </row>
    <row r="28" spans="2:14">
      <c r="B28" s="2"/>
      <c r="C28" s="2" t="s">
        <v>644</v>
      </c>
      <c r="D28" s="391">
        <f>D26+D27</f>
        <v>1400</v>
      </c>
      <c r="E28" s="391">
        <f t="shared" ref="E28:M28" si="1">E26+E27</f>
        <v>1420</v>
      </c>
      <c r="F28" s="391">
        <f t="shared" si="1"/>
        <v>1441</v>
      </c>
      <c r="G28" s="391">
        <f t="shared" si="1"/>
        <v>1463.05</v>
      </c>
      <c r="H28" s="391">
        <f t="shared" si="1"/>
        <v>1486.2025000000001</v>
      </c>
      <c r="I28" s="391">
        <f t="shared" si="1"/>
        <v>1510.5126250000001</v>
      </c>
      <c r="J28" s="391">
        <f t="shared" si="1"/>
        <v>1536.0382562500001</v>
      </c>
      <c r="K28" s="391">
        <f t="shared" si="1"/>
        <v>1562.8401690625001</v>
      </c>
      <c r="L28" s="391">
        <f t="shared" si="1"/>
        <v>1590.9821775156252</v>
      </c>
      <c r="M28" s="391">
        <f t="shared" si="1"/>
        <v>1620.5312863914064</v>
      </c>
      <c r="N28" s="2"/>
    </row>
    <row r="29" spans="2:14">
      <c r="B29" s="2"/>
      <c r="C29" s="2" t="s">
        <v>328</v>
      </c>
      <c r="D29" s="392">
        <v>1</v>
      </c>
      <c r="E29" s="392">
        <f t="shared" ref="E29:M29" si="2">D29*(1-$D$23)</f>
        <v>0.96</v>
      </c>
      <c r="F29" s="392">
        <f t="shared" si="2"/>
        <v>0.92159999999999997</v>
      </c>
      <c r="G29" s="392">
        <f t="shared" si="2"/>
        <v>0.88473599999999997</v>
      </c>
      <c r="H29" s="392">
        <f t="shared" si="2"/>
        <v>0.84934655999999997</v>
      </c>
      <c r="I29" s="392">
        <f t="shared" si="2"/>
        <v>0.81537269759999997</v>
      </c>
      <c r="J29" s="392">
        <f t="shared" si="2"/>
        <v>0.78275778969599996</v>
      </c>
      <c r="K29" s="392">
        <f t="shared" si="2"/>
        <v>0.75144747810815993</v>
      </c>
      <c r="L29" s="392">
        <f t="shared" si="2"/>
        <v>0.72138957898383349</v>
      </c>
      <c r="M29" s="392">
        <f t="shared" si="2"/>
        <v>0.69253399582448016</v>
      </c>
      <c r="N29" s="2"/>
    </row>
    <row r="30" spans="2:14">
      <c r="B30" s="2"/>
      <c r="C30" s="2" t="s">
        <v>230</v>
      </c>
      <c r="D30" s="391">
        <f>D28*D29</f>
        <v>1400</v>
      </c>
      <c r="E30" s="391">
        <f t="shared" ref="E30:M30" si="3">E28*E29</f>
        <v>1363.2</v>
      </c>
      <c r="F30" s="391">
        <f t="shared" si="3"/>
        <v>1328.0255999999999</v>
      </c>
      <c r="G30" s="391">
        <f t="shared" si="3"/>
        <v>1294.4130048</v>
      </c>
      <c r="H30" s="391">
        <f t="shared" si="3"/>
        <v>1262.3009808383999</v>
      </c>
      <c r="I30" s="391">
        <f t="shared" si="3"/>
        <v>1231.6307538051071</v>
      </c>
      <c r="J30" s="391">
        <f t="shared" si="3"/>
        <v>1202.345910350748</v>
      </c>
      <c r="K30" s="391">
        <f t="shared" si="3"/>
        <v>1174.3923037281461</v>
      </c>
      <c r="L30" s="391">
        <f t="shared" si="3"/>
        <v>1147.7179632087796</v>
      </c>
      <c r="M30" s="391">
        <f t="shared" si="3"/>
        <v>1122.2730071232256</v>
      </c>
      <c r="N30" s="2"/>
    </row>
    <row r="31" spans="2:14">
      <c r="B31" s="2"/>
      <c r="C31" s="2" t="s">
        <v>645</v>
      </c>
      <c r="D31" s="391">
        <v>1</v>
      </c>
      <c r="E31" s="391">
        <f>0*D31/(1+$D$22)+1</f>
        <v>1</v>
      </c>
      <c r="F31" s="391">
        <f t="shared" ref="F31:M31" si="4">0*E31/(1+$D$22)+1</f>
        <v>1</v>
      </c>
      <c r="G31" s="391">
        <f t="shared" si="4"/>
        <v>1</v>
      </c>
      <c r="H31" s="391">
        <f t="shared" si="4"/>
        <v>1</v>
      </c>
      <c r="I31" s="391">
        <f t="shared" si="4"/>
        <v>1</v>
      </c>
      <c r="J31" s="391">
        <f t="shared" si="4"/>
        <v>1</v>
      </c>
      <c r="K31" s="391">
        <f t="shared" si="4"/>
        <v>1</v>
      </c>
      <c r="L31" s="391">
        <f t="shared" si="4"/>
        <v>1</v>
      </c>
      <c r="M31" s="391">
        <f t="shared" si="4"/>
        <v>1</v>
      </c>
      <c r="N31" s="2"/>
    </row>
    <row r="32" spans="2:14">
      <c r="B32" s="2"/>
      <c r="C32" s="2" t="s">
        <v>231</v>
      </c>
      <c r="D32" s="390">
        <f>SUMPRODUCT(E30:$M$30,E31:$M$31)/D31</f>
        <v>11126.299523854404</v>
      </c>
      <c r="E32" s="390">
        <f>SUMPRODUCT(F30:$M$30,F31:$M$31)/E31</f>
        <v>9763.0995238544056</v>
      </c>
      <c r="F32" s="390">
        <f>SUMPRODUCT(G30:$M$30,G31:$M$31)/F31</f>
        <v>8435.0739238544047</v>
      </c>
      <c r="G32" s="390">
        <f>SUMPRODUCT(H30:$M$30,H31:$M$31)/G31</f>
        <v>7140.6609190544059</v>
      </c>
      <c r="H32" s="390">
        <f>SUMPRODUCT(I30:$M$30,I31:$M$31)/H31</f>
        <v>5878.3599382160064</v>
      </c>
      <c r="I32" s="390">
        <f>SUMPRODUCT(J30:$M$30,J31:$M$31)/I31</f>
        <v>4646.7291844108995</v>
      </c>
      <c r="J32" s="390">
        <f>SUMPRODUCT(K30:$M$30,K31:$M$31)/J31</f>
        <v>3444.3832740601511</v>
      </c>
      <c r="K32" s="390">
        <f>SUMPRODUCT(L30:$M$30,L31:$M$31)/K31</f>
        <v>2269.9909703320054</v>
      </c>
      <c r="L32" s="390">
        <f>SUMPRODUCT(M30:$M$30,M31:$M$31)/L31</f>
        <v>1122.2730071232256</v>
      </c>
      <c r="M32" s="390"/>
      <c r="N32" s="2"/>
    </row>
    <row r="33" spans="2:14">
      <c r="B33" s="2"/>
      <c r="C33" s="2" t="s">
        <v>646</v>
      </c>
      <c r="D33" s="391">
        <f>D30+D32</f>
        <v>12526.299523854404</v>
      </c>
      <c r="E33" s="391">
        <f t="shared" ref="E33:M33" si="5">E30+E32</f>
        <v>11126.299523854406</v>
      </c>
      <c r="F33" s="391">
        <f t="shared" si="5"/>
        <v>9763.0995238544056</v>
      </c>
      <c r="G33" s="391">
        <f t="shared" si="5"/>
        <v>8435.0739238544065</v>
      </c>
      <c r="H33" s="391">
        <f t="shared" si="5"/>
        <v>7140.6609190544059</v>
      </c>
      <c r="I33" s="391">
        <f t="shared" si="5"/>
        <v>5878.3599382160064</v>
      </c>
      <c r="J33" s="391">
        <f t="shared" si="5"/>
        <v>4646.7291844108986</v>
      </c>
      <c r="K33" s="391">
        <f t="shared" si="5"/>
        <v>3444.3832740601515</v>
      </c>
      <c r="L33" s="391">
        <f t="shared" si="5"/>
        <v>2269.9909703320054</v>
      </c>
      <c r="M33" s="391">
        <f t="shared" si="5"/>
        <v>1122.2730071232256</v>
      </c>
      <c r="N33" s="2"/>
    </row>
    <row r="34" spans="2:14">
      <c r="B34" s="2"/>
      <c r="C34" s="2" t="s">
        <v>647</v>
      </c>
      <c r="D34" s="393">
        <f>D30/D33</f>
        <v>0.11176485101078064</v>
      </c>
      <c r="E34" s="393">
        <f t="shared" ref="E34:M34" si="6">E30/E33</f>
        <v>0.12252051969995467</v>
      </c>
      <c r="F34" s="393">
        <f t="shared" si="6"/>
        <v>0.13602499869587567</v>
      </c>
      <c r="G34" s="393">
        <f t="shared" si="6"/>
        <v>0.15345603565362922</v>
      </c>
      <c r="H34" s="393">
        <f t="shared" si="6"/>
        <v>0.17677649102060411</v>
      </c>
      <c r="I34" s="393">
        <f t="shared" si="6"/>
        <v>0.20951945215162998</v>
      </c>
      <c r="J34" s="393">
        <f t="shared" si="6"/>
        <v>0.25875101875625633</v>
      </c>
      <c r="K34" s="393">
        <f t="shared" si="6"/>
        <v>0.34095865944204351</v>
      </c>
      <c r="L34" s="393">
        <f t="shared" si="6"/>
        <v>0.50560463817215806</v>
      </c>
      <c r="M34" s="393">
        <f t="shared" si="6"/>
        <v>1</v>
      </c>
      <c r="N34" s="2"/>
    </row>
    <row r="35" spans="2:14">
      <c r="B35" s="2"/>
      <c r="C35" s="2"/>
      <c r="D35" s="2"/>
      <c r="E35" s="2"/>
      <c r="F35" s="2"/>
      <c r="G35" s="2"/>
      <c r="H35" s="2"/>
      <c r="I35" s="2"/>
      <c r="J35" s="2"/>
      <c r="K35" s="2"/>
      <c r="L35" s="2"/>
      <c r="M35" s="2"/>
      <c r="N35" s="2"/>
    </row>
    <row r="36" spans="2:14">
      <c r="B36" s="2"/>
      <c r="C36" s="2"/>
      <c r="D36" s="2"/>
      <c r="E36" s="2"/>
      <c r="F36" s="2"/>
      <c r="G36" s="2"/>
      <c r="H36" s="2"/>
      <c r="I36" s="2"/>
      <c r="J36" s="2"/>
      <c r="K36" s="2"/>
      <c r="L36" s="2"/>
      <c r="M36" s="2"/>
      <c r="N36" s="2"/>
    </row>
    <row r="37" spans="2:14">
      <c r="B37" s="2"/>
      <c r="C37" s="2"/>
      <c r="D37" s="2"/>
      <c r="E37" s="2"/>
      <c r="F37" s="2"/>
      <c r="G37" s="2"/>
      <c r="H37" s="2"/>
      <c r="I37" s="2"/>
      <c r="J37" s="2"/>
      <c r="K37" s="2"/>
      <c r="L37" s="2"/>
      <c r="M37" s="2"/>
      <c r="N37" s="2"/>
    </row>
    <row r="38" spans="2:14">
      <c r="B38" s="2"/>
      <c r="C38" s="2" t="s">
        <v>641</v>
      </c>
      <c r="D38" s="2">
        <v>1</v>
      </c>
      <c r="E38" s="2">
        <f>1+D38</f>
        <v>2</v>
      </c>
      <c r="F38" s="2">
        <f>1+E38</f>
        <v>3</v>
      </c>
      <c r="G38" s="2">
        <f>1+F38</f>
        <v>4</v>
      </c>
      <c r="H38" s="2">
        <f t="shared" ref="H38:M38" si="7">1+G38</f>
        <v>5</v>
      </c>
      <c r="I38" s="2">
        <f t="shared" si="7"/>
        <v>6</v>
      </c>
      <c r="J38" s="2">
        <f t="shared" si="7"/>
        <v>7</v>
      </c>
      <c r="K38" s="2">
        <f t="shared" si="7"/>
        <v>8</v>
      </c>
      <c r="L38" s="2">
        <f t="shared" si="7"/>
        <v>9</v>
      </c>
      <c r="M38" s="2">
        <f t="shared" si="7"/>
        <v>10</v>
      </c>
      <c r="N38" s="394"/>
    </row>
    <row r="39" spans="2:14">
      <c r="B39" s="2"/>
      <c r="C39" s="2" t="s">
        <v>648</v>
      </c>
      <c r="D39" s="390">
        <v>300</v>
      </c>
      <c r="E39" s="390">
        <f t="shared" ref="E39:M39" si="8">D44</f>
        <v>274.4646610376688</v>
      </c>
      <c r="F39" s="390">
        <f t="shared" si="8"/>
        <v>248.06222137190355</v>
      </c>
      <c r="G39" s="390">
        <f t="shared" si="8"/>
        <v>220.74914477429317</v>
      </c>
      <c r="H39" s="390">
        <f t="shared" si="8"/>
        <v>192.48007182760011</v>
      </c>
      <c r="I39" s="390">
        <f t="shared" si="8"/>
        <v>163.20774374267882</v>
      </c>
      <c r="J39" s="390">
        <f t="shared" si="8"/>
        <v>132.88292308741342</v>
      </c>
      <c r="K39" s="390">
        <f t="shared" si="8"/>
        <v>101.45431130413303</v>
      </c>
      <c r="L39" s="390">
        <f t="shared" si="8"/>
        <v>68.868462887077868</v>
      </c>
      <c r="M39" s="390">
        <f t="shared" si="8"/>
        <v>35.069696086411689</v>
      </c>
      <c r="N39" s="2"/>
    </row>
    <row r="40" spans="2:14">
      <c r="B40" s="2"/>
      <c r="C40" s="2" t="s">
        <v>649</v>
      </c>
      <c r="D40" s="390">
        <f>D39*$D$22</f>
        <v>9</v>
      </c>
      <c r="E40" s="390">
        <f t="shared" ref="E40:M40" si="9">E39*$D$22</f>
        <v>8.2339398311300638</v>
      </c>
      <c r="F40" s="390">
        <f t="shared" si="9"/>
        <v>7.4418666411571062</v>
      </c>
      <c r="G40" s="390">
        <f t="shared" si="9"/>
        <v>6.6224743432287951</v>
      </c>
      <c r="H40" s="390">
        <f t="shared" si="9"/>
        <v>5.7744021548280031</v>
      </c>
      <c r="I40" s="390">
        <f t="shared" si="9"/>
        <v>4.8962323122803646</v>
      </c>
      <c r="J40" s="390">
        <f t="shared" si="9"/>
        <v>3.9864876926224024</v>
      </c>
      <c r="K40" s="390">
        <f t="shared" si="9"/>
        <v>3.0436293391239908</v>
      </c>
      <c r="L40" s="390">
        <f t="shared" si="9"/>
        <v>2.0660538866123361</v>
      </c>
      <c r="M40" s="390">
        <f t="shared" si="9"/>
        <v>1.0520908825923507</v>
      </c>
      <c r="N40" s="2"/>
    </row>
    <row r="41" spans="2:14">
      <c r="B41" s="2"/>
      <c r="C41" s="2" t="s">
        <v>650</v>
      </c>
      <c r="D41" s="395">
        <f>D39+D40</f>
        <v>309</v>
      </c>
      <c r="E41" s="395">
        <f t="shared" ref="E41:M41" si="10">E39+E40</f>
        <v>282.69860086879885</v>
      </c>
      <c r="F41" s="395">
        <f t="shared" si="10"/>
        <v>255.50408801306065</v>
      </c>
      <c r="G41" s="395">
        <f t="shared" si="10"/>
        <v>227.37161911752196</v>
      </c>
      <c r="H41" s="395">
        <f t="shared" si="10"/>
        <v>198.25447398242812</v>
      </c>
      <c r="I41" s="395">
        <f t="shared" si="10"/>
        <v>168.10397605495919</v>
      </c>
      <c r="J41" s="395">
        <f t="shared" si="10"/>
        <v>136.86941078003582</v>
      </c>
      <c r="K41" s="395">
        <f t="shared" si="10"/>
        <v>104.49794064325702</v>
      </c>
      <c r="L41" s="395">
        <f t="shared" si="10"/>
        <v>70.934516773690206</v>
      </c>
      <c r="M41" s="395">
        <f t="shared" si="10"/>
        <v>36.121786969004042</v>
      </c>
      <c r="N41" s="2"/>
    </row>
    <row r="42" spans="2:14">
      <c r="B42" s="2"/>
      <c r="C42" s="2" t="s">
        <v>651</v>
      </c>
      <c r="D42" s="390">
        <f t="shared" ref="D42:M42" si="11">D40</f>
        <v>9</v>
      </c>
      <c r="E42" s="390">
        <f t="shared" si="11"/>
        <v>8.2339398311300638</v>
      </c>
      <c r="F42" s="390">
        <f t="shared" si="11"/>
        <v>7.4418666411571062</v>
      </c>
      <c r="G42" s="390">
        <f t="shared" si="11"/>
        <v>6.6224743432287951</v>
      </c>
      <c r="H42" s="390">
        <f t="shared" si="11"/>
        <v>5.7744021548280031</v>
      </c>
      <c r="I42" s="390">
        <f t="shared" si="11"/>
        <v>4.8962323122803646</v>
      </c>
      <c r="J42" s="390">
        <f t="shared" si="11"/>
        <v>3.9864876926224024</v>
      </c>
      <c r="K42" s="390">
        <f t="shared" si="11"/>
        <v>3.0436293391239908</v>
      </c>
      <c r="L42" s="390">
        <f t="shared" si="11"/>
        <v>2.0660538866123361</v>
      </c>
      <c r="M42" s="390">
        <f t="shared" si="11"/>
        <v>1.0520908825923507</v>
      </c>
      <c r="N42" s="391">
        <f>SUM(D42:M42)</f>
        <v>52.11717708357542</v>
      </c>
    </row>
    <row r="43" spans="2:14">
      <c r="B43" s="2"/>
      <c r="C43" s="2" t="s">
        <v>652</v>
      </c>
      <c r="D43" s="390">
        <f>IF(D41&gt;0,D41*D34,0)</f>
        <v>34.535338962331217</v>
      </c>
      <c r="E43" s="390">
        <f t="shared" ref="E43:M43" si="12">IF(E41&gt;0,E41*E34,0)</f>
        <v>34.636379496895294</v>
      </c>
      <c r="F43" s="390">
        <f t="shared" si="12"/>
        <v>34.754943238767481</v>
      </c>
      <c r="G43" s="390">
        <f t="shared" si="12"/>
        <v>34.891547289921853</v>
      </c>
      <c r="H43" s="390">
        <f t="shared" si="12"/>
        <v>35.046730239749294</v>
      </c>
      <c r="I43" s="390">
        <f t="shared" si="12"/>
        <v>35.221052967545774</v>
      </c>
      <c r="J43" s="390">
        <f t="shared" si="12"/>
        <v>35.415099475902799</v>
      </c>
      <c r="K43" s="390">
        <f t="shared" si="12"/>
        <v>35.629477756179149</v>
      </c>
      <c r="L43" s="390">
        <f t="shared" si="12"/>
        <v>35.864820687278517</v>
      </c>
      <c r="M43" s="390">
        <f t="shared" si="12"/>
        <v>36.121786969004042</v>
      </c>
      <c r="N43" s="391">
        <f>SUM(D43:M43)</f>
        <v>352.11717708357543</v>
      </c>
    </row>
    <row r="44" spans="2:14">
      <c r="B44" s="2"/>
      <c r="C44" s="2" t="s">
        <v>653</v>
      </c>
      <c r="D44" s="390">
        <f>MAX(D39+D40-D43,0)</f>
        <v>274.4646610376688</v>
      </c>
      <c r="E44" s="390">
        <f t="shared" ref="E44:M44" si="13">MAX(E39+E40-E43,0)</f>
        <v>248.06222137190355</v>
      </c>
      <c r="F44" s="390">
        <f t="shared" si="13"/>
        <v>220.74914477429317</v>
      </c>
      <c r="G44" s="390">
        <f t="shared" si="13"/>
        <v>192.48007182760011</v>
      </c>
      <c r="H44" s="390">
        <f t="shared" si="13"/>
        <v>163.20774374267882</v>
      </c>
      <c r="I44" s="390">
        <f t="shared" si="13"/>
        <v>132.88292308741342</v>
      </c>
      <c r="J44" s="390">
        <f t="shared" si="13"/>
        <v>101.45431130413303</v>
      </c>
      <c r="K44" s="390">
        <f t="shared" si="13"/>
        <v>68.868462887077868</v>
      </c>
      <c r="L44" s="390">
        <f t="shared" si="13"/>
        <v>35.069696086411689</v>
      </c>
      <c r="M44" s="390">
        <f t="shared" si="13"/>
        <v>0</v>
      </c>
      <c r="N44" s="391"/>
    </row>
    <row r="45" spans="2:14">
      <c r="B45" s="2"/>
      <c r="C45" s="2" t="s">
        <v>654</v>
      </c>
      <c r="D45" s="391">
        <f>D39-D44</f>
        <v>25.535338962331195</v>
      </c>
      <c r="E45" s="391">
        <f t="shared" ref="E45:M45" si="14">E39-E44</f>
        <v>26.402439665765257</v>
      </c>
      <c r="F45" s="391">
        <f t="shared" si="14"/>
        <v>27.313076597610376</v>
      </c>
      <c r="G45" s="391">
        <f t="shared" si="14"/>
        <v>28.269072946693058</v>
      </c>
      <c r="H45" s="391">
        <f t="shared" si="14"/>
        <v>29.272328084921298</v>
      </c>
      <c r="I45" s="391">
        <f t="shared" si="14"/>
        <v>30.324820655265398</v>
      </c>
      <c r="J45" s="391">
        <f t="shared" si="14"/>
        <v>31.428611783280388</v>
      </c>
      <c r="K45" s="391">
        <f t="shared" si="14"/>
        <v>32.585848417055161</v>
      </c>
      <c r="L45" s="391">
        <f t="shared" si="14"/>
        <v>33.798766800666179</v>
      </c>
      <c r="M45" s="391">
        <f t="shared" si="14"/>
        <v>35.069696086411689</v>
      </c>
      <c r="N45" s="391">
        <f>N43-N42</f>
        <v>300</v>
      </c>
    </row>
    <row r="46" spans="2:14">
      <c r="D46" s="396"/>
    </row>
    <row r="48" spans="2:14">
      <c r="C48" s="397"/>
      <c r="D48" s="397"/>
      <c r="E48" s="397"/>
      <c r="F48" s="397"/>
      <c r="G48" s="397"/>
      <c r="H48" s="397"/>
      <c r="I48" s="397"/>
      <c r="J48" s="397"/>
      <c r="K48" s="397"/>
      <c r="L48" s="397"/>
      <c r="M48" s="397"/>
      <c r="N48" s="397"/>
    </row>
    <row r="49" spans="3:14">
      <c r="C49" s="397"/>
      <c r="D49" s="397"/>
      <c r="E49" s="397"/>
      <c r="F49" s="397"/>
      <c r="G49" s="397"/>
      <c r="H49" s="397"/>
      <c r="I49" s="397"/>
      <c r="J49" s="397"/>
      <c r="K49" s="397"/>
      <c r="L49" s="397"/>
      <c r="M49" s="397"/>
      <c r="N49" s="397"/>
    </row>
    <row r="50" spans="3:14">
      <c r="C50" s="397"/>
      <c r="D50" s="397"/>
      <c r="E50" s="397"/>
      <c r="F50" s="397"/>
      <c r="G50" s="397"/>
      <c r="H50" s="397"/>
      <c r="I50" s="397"/>
      <c r="J50" s="397"/>
      <c r="K50" s="397"/>
      <c r="L50" s="397"/>
      <c r="M50" s="397"/>
      <c r="N50" s="397"/>
    </row>
    <row r="51" spans="3:14">
      <c r="C51" s="397"/>
      <c r="D51" s="397"/>
      <c r="E51" s="397"/>
      <c r="F51" s="397"/>
      <c r="G51" s="397"/>
      <c r="H51" s="397"/>
      <c r="I51" s="397"/>
      <c r="J51" s="397"/>
      <c r="K51" s="397"/>
      <c r="L51" s="397"/>
      <c r="M51" s="397"/>
      <c r="N51" s="397"/>
    </row>
    <row r="52" spans="3:14">
      <c r="C52" s="397"/>
      <c r="D52" s="397"/>
      <c r="E52" s="397"/>
      <c r="F52" s="397"/>
      <c r="G52" s="397"/>
      <c r="H52" s="397"/>
      <c r="I52" s="397"/>
      <c r="J52" s="397"/>
      <c r="K52" s="397"/>
      <c r="L52" s="397"/>
      <c r="M52" s="397"/>
      <c r="N52" s="397"/>
    </row>
  </sheetData>
  <mergeCells count="12">
    <mergeCell ref="C10:F10"/>
    <mergeCell ref="G10:L10"/>
    <mergeCell ref="C3:L3"/>
    <mergeCell ref="C8:F8"/>
    <mergeCell ref="G8:L8"/>
    <mergeCell ref="C9:F9"/>
    <mergeCell ref="G9:L9"/>
    <mergeCell ref="C11:F11"/>
    <mergeCell ref="G11:L11"/>
    <mergeCell ref="C12:F12"/>
    <mergeCell ref="G12:L12"/>
    <mergeCell ref="C18:L18"/>
  </mergeCells>
  <pageMargins left="0.70866141732283472" right="0.70866141732283472" top="0.74803149606299213" bottom="0.74803149606299213" header="0.31496062992125984" footer="0.31496062992125984"/>
  <pageSetup scale="79" orientation="landscape" r:id="rId1"/>
  <headerFooter>
    <oddFooter>&amp;C&amp;1#&amp;"Calibri"&amp;10&amp;K000000CONFIDENTIAL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08FB-D24A-4A5D-B3D5-BD60933BDD40}">
  <sheetPr>
    <tabColor theme="4" tint="0.79998168889431442"/>
  </sheetPr>
  <dimension ref="A1:J97"/>
  <sheetViews>
    <sheetView topLeftCell="A45" workbookViewId="0">
      <selection activeCell="F7" sqref="F7"/>
    </sheetView>
  </sheetViews>
  <sheetFormatPr defaultColWidth="8.77734375" defaultRowHeight="14.4"/>
  <cols>
    <col min="1" max="1" width="44.109375" style="328" customWidth="1"/>
    <col min="2" max="3" width="20.44140625" style="328" customWidth="1"/>
    <col min="4" max="16384" width="8.77734375" style="328"/>
  </cols>
  <sheetData>
    <row r="1" spans="1:10" s="316" customFormat="1" ht="17.399999999999999">
      <c r="A1" s="315" t="s">
        <v>579</v>
      </c>
    </row>
    <row r="2" spans="1:10" s="316" customFormat="1" ht="15.6">
      <c r="A2" s="317" t="s">
        <v>580</v>
      </c>
    </row>
    <row r="3" spans="1:10" s="316" customFormat="1" ht="15.6">
      <c r="A3" s="317" t="s">
        <v>581</v>
      </c>
      <c r="B3" s="318"/>
      <c r="C3" s="318"/>
      <c r="D3" s="318"/>
      <c r="E3" s="318"/>
      <c r="F3" s="318"/>
      <c r="G3" s="318"/>
      <c r="H3" s="318"/>
      <c r="I3" s="318"/>
      <c r="J3" s="318"/>
    </row>
    <row r="4" spans="1:10" s="366" customFormat="1" ht="15.6">
      <c r="A4" s="317"/>
      <c r="B4" s="365"/>
      <c r="C4" s="365"/>
      <c r="D4" s="365"/>
      <c r="E4" s="365"/>
      <c r="F4" s="365"/>
      <c r="G4" s="365"/>
      <c r="H4" s="365"/>
      <c r="I4" s="365"/>
      <c r="J4" s="365"/>
    </row>
    <row r="5" spans="1:10" s="366" customFormat="1" ht="15.6">
      <c r="A5" s="367" t="s">
        <v>582</v>
      </c>
    </row>
    <row r="6" spans="1:10" s="366" customFormat="1" ht="15.6">
      <c r="A6" s="367" t="s">
        <v>583</v>
      </c>
    </row>
    <row r="7" spans="1:10" s="366" customFormat="1" ht="15.6">
      <c r="A7" s="367" t="s">
        <v>584</v>
      </c>
    </row>
    <row r="8" spans="1:10" s="366" customFormat="1" ht="15.6">
      <c r="A8" s="367" t="s">
        <v>585</v>
      </c>
    </row>
    <row r="9" spans="1:10" s="366" customFormat="1" ht="15.6">
      <c r="A9" s="367" t="s">
        <v>586</v>
      </c>
    </row>
    <row r="10" spans="1:10" s="366" customFormat="1" ht="15.6">
      <c r="A10" s="367" t="s">
        <v>587</v>
      </c>
    </row>
    <row r="11" spans="1:10" s="366" customFormat="1" ht="15.6">
      <c r="A11" s="368"/>
    </row>
    <row r="12" spans="1:10" s="366" customFormat="1" ht="16.2" thickBot="1">
      <c r="A12" s="367" t="s">
        <v>588</v>
      </c>
    </row>
    <row r="13" spans="1:10" s="366" customFormat="1" ht="16.2" thickBot="1">
      <c r="A13" s="369" t="s">
        <v>589</v>
      </c>
      <c r="B13" s="370" t="s">
        <v>590</v>
      </c>
      <c r="C13" s="370" t="s">
        <v>591</v>
      </c>
    </row>
    <row r="14" spans="1:10" s="366" customFormat="1" ht="16.2" thickBot="1">
      <c r="A14" s="371" t="s">
        <v>592</v>
      </c>
      <c r="B14" s="372" t="s">
        <v>481</v>
      </c>
      <c r="C14" s="372" t="s">
        <v>479</v>
      </c>
    </row>
    <row r="15" spans="1:10" s="366" customFormat="1" ht="16.2" thickBot="1">
      <c r="A15" s="371" t="s">
        <v>593</v>
      </c>
      <c r="B15" s="372" t="s">
        <v>594</v>
      </c>
      <c r="C15" s="372" t="s">
        <v>595</v>
      </c>
    </row>
    <row r="16" spans="1:10" s="366" customFormat="1" ht="15.6"/>
    <row r="17" spans="1:3" s="366" customFormat="1" ht="16.2" thickBot="1"/>
    <row r="18" spans="1:3" s="366" customFormat="1" ht="16.2" thickBot="1">
      <c r="A18" s="369" t="s">
        <v>596</v>
      </c>
      <c r="B18" s="370" t="s">
        <v>590</v>
      </c>
      <c r="C18" s="370" t="s">
        <v>591</v>
      </c>
    </row>
    <row r="19" spans="1:3" s="366" customFormat="1" ht="16.2" thickBot="1">
      <c r="A19" s="371" t="s">
        <v>597</v>
      </c>
      <c r="B19" s="373">
        <v>1070</v>
      </c>
      <c r="C19" s="372">
        <v>-210</v>
      </c>
    </row>
    <row r="20" spans="1:3" s="366" customFormat="1" ht="16.2" thickBot="1">
      <c r="A20" s="371" t="s">
        <v>598</v>
      </c>
      <c r="B20" s="373">
        <v>1075</v>
      </c>
      <c r="C20" s="372">
        <v>-205</v>
      </c>
    </row>
    <row r="21" spans="1:3" s="366" customFormat="1" ht="16.2" thickBot="1">
      <c r="A21" s="367" t="s">
        <v>0</v>
      </c>
    </row>
    <row r="22" spans="1:3" s="366" customFormat="1" ht="16.2" thickBot="1">
      <c r="B22" s="770" t="s">
        <v>599</v>
      </c>
      <c r="C22" s="771"/>
    </row>
    <row r="23" spans="1:3" s="366" customFormat="1" ht="31.8" thickBot="1">
      <c r="A23" s="369" t="s">
        <v>600</v>
      </c>
      <c r="B23" s="374" t="s">
        <v>601</v>
      </c>
      <c r="C23" s="374" t="s">
        <v>591</v>
      </c>
    </row>
    <row r="24" spans="1:3" s="366" customFormat="1" ht="16.2" thickBot="1">
      <c r="A24" s="375" t="s">
        <v>602</v>
      </c>
      <c r="B24" s="373">
        <v>980</v>
      </c>
      <c r="C24" s="372">
        <v>-160</v>
      </c>
    </row>
    <row r="25" spans="1:3" s="366" customFormat="1" ht="16.2" thickBot="1">
      <c r="A25" s="375" t="s">
        <v>603</v>
      </c>
      <c r="B25" s="373">
        <v>1000</v>
      </c>
      <c r="C25" s="372">
        <v>-175</v>
      </c>
    </row>
    <row r="26" spans="1:3" s="366" customFormat="1" ht="16.2" thickBot="1">
      <c r="A26" s="375" t="s">
        <v>604</v>
      </c>
      <c r="B26" s="373">
        <v>1030</v>
      </c>
      <c r="C26" s="372">
        <v>-184</v>
      </c>
    </row>
    <row r="27" spans="1:3" s="366" customFormat="1" ht="16.2" thickBot="1">
      <c r="A27" s="375" t="s">
        <v>605</v>
      </c>
      <c r="B27" s="373">
        <v>1100</v>
      </c>
      <c r="C27" s="372">
        <v>-200</v>
      </c>
    </row>
    <row r="28" spans="1:3" s="366" customFormat="1" ht="16.2" thickBot="1">
      <c r="A28" s="375" t="s">
        <v>606</v>
      </c>
      <c r="B28" s="373">
        <v>1115</v>
      </c>
      <c r="C28" s="372">
        <v>-220</v>
      </c>
    </row>
    <row r="29" spans="1:3" s="366" customFormat="1" ht="16.2" thickBot="1">
      <c r="A29" s="375" t="s">
        <v>607</v>
      </c>
      <c r="B29" s="373">
        <v>1130</v>
      </c>
      <c r="C29" s="372">
        <v>-240</v>
      </c>
    </row>
    <row r="30" spans="1:3" s="366" customFormat="1" ht="16.2" thickBot="1">
      <c r="A30" s="371" t="s">
        <v>608</v>
      </c>
      <c r="B30" s="373">
        <v>1069</v>
      </c>
      <c r="C30" s="372">
        <v>-200</v>
      </c>
    </row>
    <row r="31" spans="1:3" s="366" customFormat="1" ht="16.2" thickBot="1"/>
    <row r="32" spans="1:3" s="366" customFormat="1" ht="16.2" thickBot="1">
      <c r="B32" s="770" t="s">
        <v>599</v>
      </c>
      <c r="C32" s="771"/>
    </row>
    <row r="33" spans="1:3" s="366" customFormat="1" ht="31.8" thickBot="1">
      <c r="A33" s="369" t="s">
        <v>609</v>
      </c>
      <c r="B33" s="374" t="s">
        <v>601</v>
      </c>
      <c r="C33" s="374" t="s">
        <v>591</v>
      </c>
    </row>
    <row r="34" spans="1:3" s="366" customFormat="1" ht="31.8" thickBot="1">
      <c r="A34" s="375" t="s">
        <v>610</v>
      </c>
      <c r="B34" s="373">
        <v>1050</v>
      </c>
      <c r="C34" s="372">
        <v>-196</v>
      </c>
    </row>
    <row r="35" spans="1:3" s="366" customFormat="1" ht="16.2" thickBot="1">
      <c r="A35" s="375" t="s">
        <v>611</v>
      </c>
      <c r="B35" s="372">
        <v>1095</v>
      </c>
      <c r="C35" s="372">
        <v>-220</v>
      </c>
    </row>
    <row r="36" spans="1:3" s="366" customFormat="1" ht="16.2" thickBot="1"/>
    <row r="37" spans="1:3" s="366" customFormat="1" ht="16.2" thickBot="1">
      <c r="B37" s="770" t="s">
        <v>599</v>
      </c>
      <c r="C37" s="771"/>
    </row>
    <row r="38" spans="1:3" s="366" customFormat="1" ht="16.2" thickBot="1">
      <c r="A38" s="369" t="s">
        <v>612</v>
      </c>
      <c r="B38" s="374" t="s">
        <v>601</v>
      </c>
      <c r="C38" s="374" t="s">
        <v>591</v>
      </c>
    </row>
    <row r="39" spans="1:3" s="366" customFormat="1" ht="16.2" thickBot="1">
      <c r="A39" s="375" t="s">
        <v>613</v>
      </c>
      <c r="B39" s="373">
        <v>1085</v>
      </c>
      <c r="C39" s="372">
        <v>15</v>
      </c>
    </row>
    <row r="40" spans="1:3" s="366" customFormat="1" ht="16.2" thickBot="1">
      <c r="A40" s="375" t="s">
        <v>614</v>
      </c>
      <c r="B40" s="373">
        <v>1072</v>
      </c>
      <c r="C40" s="372">
        <v>-160</v>
      </c>
    </row>
    <row r="41" spans="1:3" s="366" customFormat="1" ht="16.2" thickBot="1">
      <c r="A41" s="375" t="s">
        <v>615</v>
      </c>
      <c r="B41" s="373">
        <v>1071</v>
      </c>
      <c r="C41" s="372">
        <v>-180</v>
      </c>
    </row>
    <row r="42" spans="1:3" s="366" customFormat="1" ht="16.2" thickBot="1">
      <c r="A42" s="375" t="s">
        <v>616</v>
      </c>
      <c r="B42" s="373">
        <v>1080</v>
      </c>
      <c r="C42" s="372">
        <v>-245</v>
      </c>
    </row>
    <row r="43" spans="1:3" s="366" customFormat="1" ht="31.8" thickBot="1">
      <c r="A43" s="375" t="s">
        <v>617</v>
      </c>
      <c r="B43" s="373">
        <v>1075</v>
      </c>
      <c r="C43" s="372">
        <v>-200</v>
      </c>
    </row>
    <row r="44" spans="1:3" s="366" customFormat="1" ht="31.8" thickBot="1">
      <c r="A44" s="375" t="s">
        <v>618</v>
      </c>
      <c r="B44" s="373">
        <v>1055</v>
      </c>
      <c r="C44" s="372">
        <v>-185</v>
      </c>
    </row>
    <row r="45" spans="1:3" s="366" customFormat="1" ht="16.2" thickBot="1">
      <c r="A45" s="376"/>
      <c r="B45" s="377"/>
      <c r="C45" s="378"/>
    </row>
    <row r="46" spans="1:3" s="366" customFormat="1" ht="16.2" thickBot="1">
      <c r="A46" s="369" t="s">
        <v>619</v>
      </c>
      <c r="B46" s="370" t="s">
        <v>590</v>
      </c>
      <c r="C46" s="370" t="s">
        <v>591</v>
      </c>
    </row>
    <row r="47" spans="1:3" s="366" customFormat="1" ht="31.8" thickBot="1">
      <c r="A47" s="371" t="s">
        <v>620</v>
      </c>
      <c r="B47" s="372">
        <v>1.5</v>
      </c>
      <c r="C47" s="372">
        <v>1.2</v>
      </c>
    </row>
    <row r="48" spans="1:3" s="366" customFormat="1" ht="16.2" thickBot="1">
      <c r="A48" s="371" t="s">
        <v>621</v>
      </c>
      <c r="B48" s="372">
        <v>13</v>
      </c>
      <c r="C48" s="372">
        <v>17</v>
      </c>
    </row>
    <row r="49" spans="1:3" s="366" customFormat="1" ht="16.2" thickBot="1">
      <c r="A49" s="371" t="s">
        <v>622</v>
      </c>
      <c r="B49" s="373">
        <v>1500</v>
      </c>
      <c r="C49" s="372">
        <v>-90</v>
      </c>
    </row>
    <row r="50" spans="1:3" s="366" customFormat="1" ht="16.2" thickBot="1">
      <c r="A50" s="371" t="s">
        <v>623</v>
      </c>
      <c r="B50" s="373">
        <v>1100</v>
      </c>
      <c r="C50" s="373">
        <v>10600</v>
      </c>
    </row>
    <row r="51" spans="1:3" s="366" customFormat="1" ht="15.6">
      <c r="A51" s="379"/>
      <c r="B51" s="377"/>
      <c r="C51" s="377"/>
    </row>
    <row r="52" spans="1:3" s="329" customFormat="1" ht="15.6">
      <c r="A52" s="319" t="s">
        <v>624</v>
      </c>
    </row>
    <row r="53" spans="1:3" s="347" customFormat="1" ht="15.6">
      <c r="A53" s="356" t="s">
        <v>158</v>
      </c>
    </row>
    <row r="54" spans="1:3" s="347" customFormat="1" ht="15.6">
      <c r="A54" s="356"/>
    </row>
    <row r="55" spans="1:3" s="347" customFormat="1" ht="15.6">
      <c r="A55" s="356"/>
    </row>
    <row r="56" spans="1:3" s="347" customFormat="1" ht="15.6">
      <c r="A56" s="356"/>
    </row>
    <row r="57" spans="1:3" s="347" customFormat="1" ht="15.6">
      <c r="A57" s="356"/>
    </row>
    <row r="58" spans="1:3" s="347" customFormat="1" ht="15.6">
      <c r="A58" s="356"/>
    </row>
    <row r="59" spans="1:3" s="347" customFormat="1" ht="15.6">
      <c r="A59" s="356"/>
    </row>
    <row r="60" spans="1:3" s="347" customFormat="1" ht="15.6">
      <c r="A60" s="356"/>
    </row>
    <row r="61" spans="1:3" s="329" customFormat="1" ht="15.6">
      <c r="A61" s="319" t="s">
        <v>625</v>
      </c>
    </row>
    <row r="62" spans="1:3" s="347" customFormat="1" ht="15.6">
      <c r="A62" s="356" t="s">
        <v>158</v>
      </c>
    </row>
    <row r="63" spans="1:3" s="347" customFormat="1" ht="15.6">
      <c r="A63" s="356"/>
    </row>
    <row r="64" spans="1:3" s="347" customFormat="1" ht="15.6">
      <c r="A64" s="356"/>
    </row>
    <row r="65" spans="1:1" s="347" customFormat="1" ht="15.6">
      <c r="A65" s="356"/>
    </row>
    <row r="66" spans="1:1" s="347" customFormat="1" ht="15.6">
      <c r="A66" s="356"/>
    </row>
    <row r="67" spans="1:1" s="347" customFormat="1" ht="15.6">
      <c r="A67" s="356"/>
    </row>
    <row r="68" spans="1:1" s="347" customFormat="1" ht="15.6">
      <c r="A68" s="356"/>
    </row>
    <row r="69" spans="1:1" s="347" customFormat="1" ht="15.6">
      <c r="A69" s="356"/>
    </row>
    <row r="70" spans="1:1" s="329" customFormat="1" ht="15.6">
      <c r="A70" s="319" t="s">
        <v>626</v>
      </c>
    </row>
    <row r="71" spans="1:1" s="329" customFormat="1" ht="15.6">
      <c r="A71" s="380" t="s">
        <v>627</v>
      </c>
    </row>
    <row r="72" spans="1:1" s="347" customFormat="1" ht="15.6">
      <c r="A72" s="356" t="s">
        <v>158</v>
      </c>
    </row>
    <row r="73" spans="1:1" s="382" customFormat="1" ht="15.6">
      <c r="A73" s="381"/>
    </row>
    <row r="74" spans="1:1" s="382" customFormat="1" ht="15.6">
      <c r="A74" s="383"/>
    </row>
    <row r="75" spans="1:1" s="382" customFormat="1" ht="15.6">
      <c r="A75" s="383"/>
    </row>
    <row r="76" spans="1:1" s="329" customFormat="1" ht="15.6">
      <c r="A76" s="380" t="s">
        <v>628</v>
      </c>
    </row>
    <row r="77" spans="1:1" s="382" customFormat="1" ht="15.6">
      <c r="A77" s="356" t="s">
        <v>158</v>
      </c>
    </row>
    <row r="78" spans="1:1" s="382" customFormat="1" ht="15.6"/>
    <row r="79" spans="1:1" s="382" customFormat="1" ht="15.6">
      <c r="A79" s="383"/>
    </row>
    <row r="80" spans="1:1" s="382" customFormat="1" ht="15.6">
      <c r="A80" s="384"/>
    </row>
    <row r="81" spans="1:1" s="382" customFormat="1" ht="15.6"/>
    <row r="82" spans="1:1" s="382" customFormat="1" ht="15.6">
      <c r="A82" s="383"/>
    </row>
    <row r="83" spans="1:1" s="382" customFormat="1" ht="15.6">
      <c r="A83" s="383"/>
    </row>
    <row r="84" spans="1:1" s="382" customFormat="1" ht="15.6"/>
    <row r="85" spans="1:1" s="382" customFormat="1" ht="15.6"/>
    <row r="86" spans="1:1" s="382" customFormat="1" ht="15.6"/>
    <row r="87" spans="1:1" s="382" customFormat="1" ht="15.6"/>
    <row r="88" spans="1:1" s="382" customFormat="1" ht="15.6"/>
    <row r="89" spans="1:1" s="382" customFormat="1" ht="15.6"/>
    <row r="90" spans="1:1" s="382" customFormat="1" ht="15.6"/>
    <row r="91" spans="1:1" s="382" customFormat="1" ht="15.6"/>
    <row r="92" spans="1:1" s="382" customFormat="1" ht="15.6"/>
    <row r="93" spans="1:1" s="382" customFormat="1" ht="15.6"/>
    <row r="97" spans="1:1" ht="15.6">
      <c r="A97" s="383"/>
    </row>
  </sheetData>
  <mergeCells count="3">
    <mergeCell ref="B22:C22"/>
    <mergeCell ref="B32:C32"/>
    <mergeCell ref="B37:C37"/>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4961-D053-4195-802E-DB3A1C600926}">
  <sheetPr>
    <tabColor theme="2" tint="-9.9978637043366805E-2"/>
  </sheetPr>
  <dimension ref="A1:A37"/>
  <sheetViews>
    <sheetView workbookViewId="0">
      <selection activeCell="B19" sqref="B19"/>
    </sheetView>
  </sheetViews>
  <sheetFormatPr defaultColWidth="8.77734375" defaultRowHeight="14.4"/>
  <cols>
    <col min="1" max="16384" width="8.77734375" style="328"/>
  </cols>
  <sheetData>
    <row r="1" spans="1:1" s="316" customFormat="1" ht="17.399999999999999">
      <c r="A1" s="315" t="s">
        <v>655</v>
      </c>
    </row>
    <row r="2" spans="1:1" s="316" customFormat="1" ht="15.6">
      <c r="A2" s="317" t="s">
        <v>109</v>
      </c>
    </row>
    <row r="3" spans="1:1" s="316" customFormat="1" ht="15.6">
      <c r="A3" s="317" t="s">
        <v>656</v>
      </c>
    </row>
    <row r="4" spans="1:1" s="316" customFormat="1"/>
    <row r="5" spans="1:1" s="316" customFormat="1" ht="15.6">
      <c r="A5" s="398" t="s">
        <v>657</v>
      </c>
    </row>
    <row r="6" spans="1:1" s="316" customFormat="1" ht="15.6">
      <c r="A6" s="319"/>
    </row>
    <row r="7" spans="1:1" s="316" customFormat="1" ht="15.6">
      <c r="A7" s="326" t="s">
        <v>658</v>
      </c>
    </row>
    <row r="8" spans="1:1" s="316" customFormat="1" ht="15.6">
      <c r="A8" s="326" t="s">
        <v>659</v>
      </c>
    </row>
    <row r="9" spans="1:1" s="316" customFormat="1" ht="15.6">
      <c r="A9" s="326" t="s">
        <v>660</v>
      </c>
    </row>
    <row r="10" spans="1:1" s="316" customFormat="1" ht="15.6">
      <c r="A10" s="326" t="s">
        <v>661</v>
      </c>
    </row>
    <row r="11" spans="1:1" s="316" customFormat="1" ht="15.6">
      <c r="A11" s="326" t="s">
        <v>662</v>
      </c>
    </row>
    <row r="12" spans="1:1" s="316" customFormat="1" ht="15.6">
      <c r="A12" s="326" t="s">
        <v>663</v>
      </c>
    </row>
    <row r="13" spans="1:1" s="316" customFormat="1" ht="15.6">
      <c r="A13" s="399"/>
    </row>
    <row r="14" spans="1:1" s="316" customFormat="1" ht="15.6">
      <c r="A14" s="319" t="s">
        <v>664</v>
      </c>
    </row>
    <row r="15" spans="1:1" s="316" customFormat="1" ht="15.6">
      <c r="A15" s="319"/>
    </row>
    <row r="16" spans="1:1" s="316" customFormat="1" ht="15.6">
      <c r="A16" s="400" t="s">
        <v>665</v>
      </c>
    </row>
    <row r="17" spans="1:1" s="316" customFormat="1" ht="15.6">
      <c r="A17" s="400" t="s">
        <v>666</v>
      </c>
    </row>
    <row r="18" spans="1:1" s="316" customFormat="1" ht="15.6">
      <c r="A18" s="400" t="s">
        <v>667</v>
      </c>
    </row>
    <row r="19" spans="1:1" s="316" customFormat="1" ht="15.6">
      <c r="A19" s="319"/>
    </row>
    <row r="20" spans="1:1" s="316" customFormat="1" ht="15.6">
      <c r="A20" s="401" t="s">
        <v>668</v>
      </c>
    </row>
    <row r="21" spans="1:1" ht="15.6">
      <c r="A21" s="347" t="s">
        <v>22</v>
      </c>
    </row>
    <row r="22" spans="1:1" ht="15.6">
      <c r="A22" s="402"/>
    </row>
    <row r="23" spans="1:1" ht="15.6">
      <c r="A23" s="402"/>
    </row>
    <row r="24" spans="1:1" ht="15.6">
      <c r="A24" s="402"/>
    </row>
    <row r="25" spans="1:1" ht="15.6">
      <c r="A25" s="402"/>
    </row>
    <row r="26" spans="1:1" ht="15.6">
      <c r="A26" s="402"/>
    </row>
    <row r="27" spans="1:1" ht="15.6">
      <c r="A27" s="402"/>
    </row>
    <row r="28" spans="1:1" ht="15.6">
      <c r="A28" s="402"/>
    </row>
    <row r="29" spans="1:1" ht="15.6">
      <c r="A29" s="402"/>
    </row>
    <row r="30" spans="1:1" ht="15.6">
      <c r="A30" s="402"/>
    </row>
    <row r="31" spans="1:1" ht="15.6">
      <c r="A31" s="402"/>
    </row>
    <row r="32" spans="1:1" ht="15.6">
      <c r="A32" s="402"/>
    </row>
    <row r="33" spans="1:1" ht="15.6">
      <c r="A33" s="402"/>
    </row>
    <row r="34" spans="1:1" ht="15.6">
      <c r="A34" s="402"/>
    </row>
    <row r="35" spans="1:1" ht="15.6">
      <c r="A35" s="402"/>
    </row>
    <row r="36" spans="1:1" s="316" customFormat="1" ht="15.6">
      <c r="A36" s="398" t="s">
        <v>669</v>
      </c>
    </row>
    <row r="37" spans="1:1" ht="15.6">
      <c r="A37" s="347" t="s">
        <v>22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3792-ADD8-4F04-96BE-40ABB499B745}">
  <sheetPr>
    <tabColor rgb="FFFF0000"/>
  </sheetPr>
  <dimension ref="A1:D58"/>
  <sheetViews>
    <sheetView topLeftCell="A10" workbookViewId="0">
      <selection activeCell="B19" sqref="B19"/>
    </sheetView>
  </sheetViews>
  <sheetFormatPr defaultColWidth="8.77734375" defaultRowHeight="14.4"/>
  <cols>
    <col min="1" max="1" width="12.77734375" style="328" customWidth="1"/>
    <col min="2" max="2" width="8.77734375" style="328"/>
    <col min="3" max="3" width="12.5546875" style="328" customWidth="1"/>
    <col min="4" max="4" width="10.77734375" style="328" customWidth="1"/>
    <col min="5" max="16384" width="8.77734375" style="328"/>
  </cols>
  <sheetData>
    <row r="1" spans="1:3" s="316" customFormat="1" ht="17.399999999999999">
      <c r="A1" s="315" t="s">
        <v>670</v>
      </c>
    </row>
    <row r="2" spans="1:3" s="316" customFormat="1" ht="15.6">
      <c r="A2" s="317" t="s">
        <v>109</v>
      </c>
    </row>
    <row r="3" spans="1:3" s="316" customFormat="1" ht="15.6">
      <c r="A3" s="317" t="s">
        <v>656</v>
      </c>
    </row>
    <row r="4" spans="1:3" s="316" customFormat="1"/>
    <row r="5" spans="1:3" s="316" customFormat="1" ht="15.6">
      <c r="A5" s="401" t="s">
        <v>671</v>
      </c>
    </row>
    <row r="6" spans="1:3" s="316" customFormat="1" ht="16.2" thickBot="1">
      <c r="A6" s="319"/>
    </row>
    <row r="7" spans="1:3" s="316" customFormat="1" ht="36" customHeight="1" thickBot="1">
      <c r="A7" s="403" t="s">
        <v>104</v>
      </c>
      <c r="B7" s="404" t="s">
        <v>672</v>
      </c>
      <c r="C7" s="404" t="s">
        <v>673</v>
      </c>
    </row>
    <row r="8" spans="1:3" s="316" customFormat="1" ht="16.2" thickBot="1">
      <c r="A8" s="405">
        <v>1</v>
      </c>
      <c r="B8" s="323">
        <v>550</v>
      </c>
      <c r="C8" s="323">
        <v>1000</v>
      </c>
    </row>
    <row r="9" spans="1:3" s="316" customFormat="1" ht="16.2" thickBot="1">
      <c r="A9" s="405">
        <v>2</v>
      </c>
      <c r="B9" s="323">
        <v>542.1</v>
      </c>
      <c r="C9" s="323">
        <v>964.9</v>
      </c>
    </row>
    <row r="10" spans="1:3" s="316" customFormat="1" ht="16.2" thickBot="1">
      <c r="A10" s="405">
        <v>3</v>
      </c>
      <c r="B10" s="323">
        <v>532.9</v>
      </c>
      <c r="C10" s="323">
        <v>929.3</v>
      </c>
    </row>
    <row r="11" spans="1:3" s="316" customFormat="1" ht="16.2" thickBot="1">
      <c r="A11" s="405">
        <v>4</v>
      </c>
      <c r="B11" s="323">
        <v>527.1</v>
      </c>
      <c r="C11" s="323">
        <v>893.2</v>
      </c>
    </row>
    <row r="12" spans="1:3" s="316" customFormat="1" ht="16.2" thickBot="1">
      <c r="A12" s="405">
        <v>5</v>
      </c>
      <c r="B12" s="323">
        <v>523.5</v>
      </c>
      <c r="C12" s="323">
        <v>855.5</v>
      </c>
    </row>
    <row r="13" spans="1:3" s="316" customFormat="1" ht="16.2" thickBot="1">
      <c r="A13" s="405">
        <v>6</v>
      </c>
      <c r="B13" s="323">
        <v>522.70000000000005</v>
      </c>
      <c r="C13" s="323">
        <v>812.7</v>
      </c>
    </row>
    <row r="14" spans="1:3" s="316" customFormat="1" ht="16.2" thickBot="1">
      <c r="A14" s="405">
        <v>7</v>
      </c>
      <c r="B14" s="323">
        <v>515.20000000000005</v>
      </c>
      <c r="C14" s="323">
        <v>768</v>
      </c>
    </row>
    <row r="15" spans="1:3" s="316" customFormat="1" ht="16.2" thickBot="1">
      <c r="A15" s="405">
        <v>8</v>
      </c>
      <c r="B15" s="323">
        <v>512.4</v>
      </c>
      <c r="C15" s="323">
        <v>723.1</v>
      </c>
    </row>
    <row r="16" spans="1:3" s="316" customFormat="1" ht="16.2" thickBot="1">
      <c r="A16" s="405">
        <v>9</v>
      </c>
      <c r="B16" s="323">
        <v>505.6</v>
      </c>
      <c r="C16" s="323">
        <v>675.8</v>
      </c>
    </row>
    <row r="17" spans="1:4" s="316" customFormat="1" ht="16.2" thickBot="1">
      <c r="A17" s="405">
        <v>10</v>
      </c>
      <c r="B17" s="323">
        <v>496.7</v>
      </c>
      <c r="C17" s="323">
        <v>650.4</v>
      </c>
    </row>
    <row r="18" spans="1:4" s="316" customFormat="1" ht="15" customHeight="1">
      <c r="A18" s="406"/>
    </row>
    <row r="19" spans="1:4" s="316" customFormat="1" ht="15.6">
      <c r="A19" s="319" t="s">
        <v>674</v>
      </c>
    </row>
    <row r="20" spans="1:4" s="316" customFormat="1" ht="16.2" thickBot="1">
      <c r="A20" s="319"/>
    </row>
    <row r="21" spans="1:4" s="316" customFormat="1" ht="31.8" thickBot="1">
      <c r="A21" s="407"/>
      <c r="B21" s="320" t="s">
        <v>104</v>
      </c>
      <c r="C21" s="404" t="s">
        <v>672</v>
      </c>
      <c r="D21" s="404" t="s">
        <v>673</v>
      </c>
    </row>
    <row r="22" spans="1:4" s="316" customFormat="1" ht="16.2" thickBot="1">
      <c r="A22" s="321" t="s">
        <v>352</v>
      </c>
      <c r="B22" s="323">
        <v>1</v>
      </c>
      <c r="C22" s="323">
        <v>650</v>
      </c>
      <c r="D22" s="323">
        <v>1000</v>
      </c>
    </row>
    <row r="23" spans="1:4" s="316" customFormat="1" ht="16.2" thickBot="1">
      <c r="A23" s="321" t="s">
        <v>352</v>
      </c>
      <c r="B23" s="323">
        <v>2</v>
      </c>
      <c r="C23" s="323">
        <v>642.1</v>
      </c>
      <c r="D23" s="323">
        <v>814.6</v>
      </c>
    </row>
    <row r="24" spans="1:4" s="316" customFormat="1" ht="16.2" thickBot="1">
      <c r="A24" s="321" t="s">
        <v>352</v>
      </c>
      <c r="B24" s="323">
        <v>3</v>
      </c>
      <c r="C24" s="323">
        <v>632.9</v>
      </c>
      <c r="D24" s="323">
        <v>784.6</v>
      </c>
    </row>
    <row r="25" spans="1:4" s="316" customFormat="1" ht="16.2" thickBot="1">
      <c r="A25" s="321" t="s">
        <v>352</v>
      </c>
      <c r="B25" s="323">
        <v>4</v>
      </c>
      <c r="C25" s="323">
        <v>627.1</v>
      </c>
      <c r="D25" s="323">
        <v>754.1</v>
      </c>
    </row>
    <row r="26" spans="1:4" s="316" customFormat="1" ht="16.2" thickBot="1">
      <c r="A26" s="321" t="s">
        <v>675</v>
      </c>
      <c r="B26" s="323">
        <v>5</v>
      </c>
      <c r="C26" s="323">
        <v>534.20000000000005</v>
      </c>
      <c r="D26" s="323">
        <v>838.4</v>
      </c>
    </row>
    <row r="27" spans="1:4" s="316" customFormat="1" ht="16.2" thickBot="1">
      <c r="A27" s="321" t="s">
        <v>675</v>
      </c>
      <c r="B27" s="323">
        <v>6</v>
      </c>
      <c r="C27" s="323">
        <v>544.5</v>
      </c>
      <c r="D27" s="323">
        <v>780.2</v>
      </c>
    </row>
    <row r="28" spans="1:4" s="316" customFormat="1" ht="16.2" thickBot="1">
      <c r="A28" s="321" t="s">
        <v>675</v>
      </c>
      <c r="B28" s="323">
        <v>7</v>
      </c>
      <c r="C28" s="323">
        <v>548.1</v>
      </c>
      <c r="D28" s="323">
        <v>721.9</v>
      </c>
    </row>
    <row r="29" spans="1:4" s="316" customFormat="1" ht="16.2" thickBot="1">
      <c r="A29" s="321" t="s">
        <v>675</v>
      </c>
      <c r="B29" s="323">
        <v>8</v>
      </c>
      <c r="C29" s="323">
        <v>557</v>
      </c>
      <c r="D29" s="323">
        <v>665.3</v>
      </c>
    </row>
    <row r="30" spans="1:4" s="316" customFormat="1" ht="16.2" thickBot="1">
      <c r="A30" s="321" t="s">
        <v>675</v>
      </c>
      <c r="B30" s="323">
        <v>9</v>
      </c>
      <c r="C30" s="323">
        <v>561.79999999999995</v>
      </c>
      <c r="D30" s="323">
        <v>608.20000000000005</v>
      </c>
    </row>
    <row r="31" spans="1:4" s="316" customFormat="1" ht="16.2" thickBot="1">
      <c r="A31" s="321" t="s">
        <v>675</v>
      </c>
      <c r="B31" s="323">
        <v>10</v>
      </c>
      <c r="C31" s="323">
        <v>564.4</v>
      </c>
      <c r="D31" s="323">
        <v>572.4</v>
      </c>
    </row>
    <row r="32" spans="1:4" s="316" customFormat="1" ht="15.6">
      <c r="A32" s="319"/>
    </row>
    <row r="33" spans="1:1" s="316" customFormat="1" ht="15.6">
      <c r="A33" s="319" t="s">
        <v>537</v>
      </c>
    </row>
    <row r="34" spans="1:1" s="316" customFormat="1" ht="15.6">
      <c r="A34" s="326" t="s">
        <v>676</v>
      </c>
    </row>
    <row r="35" spans="1:1" s="316" customFormat="1" ht="15.6">
      <c r="A35" s="326" t="s">
        <v>677</v>
      </c>
    </row>
    <row r="36" spans="1:1" s="316" customFormat="1" ht="15.6">
      <c r="A36" s="326" t="s">
        <v>678</v>
      </c>
    </row>
    <row r="37" spans="1:1" s="316" customFormat="1" ht="15.6">
      <c r="A37" s="326" t="s">
        <v>679</v>
      </c>
    </row>
    <row r="38" spans="1:1" s="316" customFormat="1" ht="15.6">
      <c r="A38" s="319"/>
    </row>
    <row r="39" spans="1:1" s="316" customFormat="1" ht="15.6">
      <c r="A39" s="319" t="s">
        <v>460</v>
      </c>
    </row>
    <row r="40" spans="1:1" s="316" customFormat="1" ht="15.6">
      <c r="A40" s="319"/>
    </row>
    <row r="41" spans="1:1" s="316" customFormat="1" ht="15.6">
      <c r="A41" s="401" t="s">
        <v>680</v>
      </c>
    </row>
    <row r="42" spans="1:1" ht="15.6">
      <c r="A42" s="347" t="s">
        <v>22</v>
      </c>
    </row>
    <row r="43" spans="1:1" ht="15.6">
      <c r="A43" s="347"/>
    </row>
    <row r="44" spans="1:1" ht="15.6">
      <c r="A44" s="347"/>
    </row>
    <row r="45" spans="1:1" ht="15.6">
      <c r="A45" s="347"/>
    </row>
    <row r="46" spans="1:1" ht="15.6">
      <c r="A46" s="347"/>
    </row>
    <row r="47" spans="1:1" ht="15.6">
      <c r="A47" s="347"/>
    </row>
    <row r="48" spans="1:1" ht="15.6">
      <c r="A48" s="347"/>
    </row>
    <row r="49" spans="1:1" ht="15.6">
      <c r="A49" s="347"/>
    </row>
    <row r="50" spans="1:1" ht="15.6">
      <c r="A50" s="347"/>
    </row>
    <row r="51" spans="1:1" ht="15.6">
      <c r="A51" s="347"/>
    </row>
    <row r="52" spans="1:1" ht="15.6">
      <c r="A52" s="347"/>
    </row>
    <row r="53" spans="1:1" ht="15.6">
      <c r="A53" s="347"/>
    </row>
    <row r="54" spans="1:1" ht="15.6">
      <c r="A54" s="347"/>
    </row>
    <row r="55" spans="1:1" ht="15.6">
      <c r="A55" s="347"/>
    </row>
    <row r="56" spans="1:1" ht="15.6">
      <c r="A56" s="356"/>
    </row>
    <row r="57" spans="1:1" s="316" customFormat="1" ht="15.6">
      <c r="A57" s="401" t="s">
        <v>681</v>
      </c>
    </row>
    <row r="58" spans="1:1" ht="15.6">
      <c r="A58" s="347" t="s">
        <v>22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A4AB-EBB2-4914-9790-4BF7F95C8891}">
  <sheetPr>
    <tabColor theme="2" tint="-9.9978637043366805E-2"/>
  </sheetPr>
  <dimension ref="A1:F42"/>
  <sheetViews>
    <sheetView topLeftCell="A3" workbookViewId="0">
      <selection activeCell="B19" sqref="B19"/>
    </sheetView>
  </sheetViews>
  <sheetFormatPr defaultColWidth="8.77734375" defaultRowHeight="14.4"/>
  <cols>
    <col min="1" max="3" width="8.77734375" style="328"/>
    <col min="4" max="4" width="21" style="328" customWidth="1"/>
    <col min="5" max="5" width="41.77734375" style="328" customWidth="1"/>
    <col min="6" max="16384" width="8.77734375" style="328"/>
  </cols>
  <sheetData>
    <row r="1" spans="1:6" s="316" customFormat="1" ht="17.399999999999999">
      <c r="A1" s="315" t="s">
        <v>682</v>
      </c>
    </row>
    <row r="2" spans="1:6" s="316" customFormat="1" ht="15.6">
      <c r="A2" s="317" t="s">
        <v>109</v>
      </c>
    </row>
    <row r="3" spans="1:6" s="316" customFormat="1" ht="15.6">
      <c r="A3" s="317" t="s">
        <v>656</v>
      </c>
    </row>
    <row r="4" spans="1:6" s="316" customFormat="1"/>
    <row r="5" spans="1:6" s="316" customFormat="1" ht="15.6">
      <c r="A5" s="319" t="s">
        <v>683</v>
      </c>
    </row>
    <row r="6" spans="1:6" s="316" customFormat="1" ht="15.6">
      <c r="A6" s="319" t="s">
        <v>684</v>
      </c>
    </row>
    <row r="7" spans="1:6" s="316" customFormat="1" ht="15.6">
      <c r="A7" s="319"/>
    </row>
    <row r="8" spans="1:6" s="316" customFormat="1" ht="15.6">
      <c r="A8" s="408" t="s">
        <v>685</v>
      </c>
      <c r="B8" s="409"/>
      <c r="C8" s="409"/>
      <c r="D8" s="409"/>
      <c r="E8" s="410">
        <v>5</v>
      </c>
    </row>
    <row r="9" spans="1:6" s="316" customFormat="1" ht="15.6">
      <c r="A9" s="408" t="s">
        <v>686</v>
      </c>
      <c r="B9" s="409"/>
      <c r="C9" s="409"/>
      <c r="D9" s="409"/>
      <c r="E9" s="411">
        <v>10000</v>
      </c>
    </row>
    <row r="10" spans="1:6" s="316" customFormat="1" ht="15.6">
      <c r="A10" s="408" t="s">
        <v>687</v>
      </c>
      <c r="B10" s="409"/>
      <c r="C10" s="409"/>
      <c r="D10" s="409"/>
      <c r="E10" s="410">
        <v>200</v>
      </c>
    </row>
    <row r="11" spans="1:6" s="316" customFormat="1" ht="15.6">
      <c r="A11" s="319"/>
    </row>
    <row r="12" spans="1:6" s="316" customFormat="1" ht="15.6">
      <c r="A12" s="319" t="s">
        <v>688</v>
      </c>
    </row>
    <row r="13" spans="1:6" s="316" customFormat="1" ht="15.6">
      <c r="A13" s="319"/>
    </row>
    <row r="14" spans="1:6" s="316" customFormat="1" ht="15.6">
      <c r="A14" s="408" t="s">
        <v>689</v>
      </c>
      <c r="B14" s="409"/>
      <c r="C14" s="409"/>
      <c r="D14" s="412"/>
      <c r="E14" s="413"/>
      <c r="F14" s="414">
        <v>25</v>
      </c>
    </row>
    <row r="15" spans="1:6" s="316" customFormat="1" ht="15.6">
      <c r="A15" s="408" t="s">
        <v>690</v>
      </c>
      <c r="B15" s="409"/>
      <c r="C15" s="409"/>
      <c r="D15" s="412"/>
      <c r="E15" s="413"/>
      <c r="F15" s="414">
        <f>1/1000</f>
        <v>1E-3</v>
      </c>
    </row>
    <row r="16" spans="1:6" s="316" customFormat="1" ht="15.6">
      <c r="A16" s="408" t="s">
        <v>691</v>
      </c>
      <c r="B16" s="409"/>
      <c r="C16" s="409"/>
      <c r="D16" s="412"/>
      <c r="E16" s="413"/>
      <c r="F16" s="415">
        <v>0.1</v>
      </c>
    </row>
    <row r="17" spans="1:6" s="316" customFormat="1" ht="15.6">
      <c r="A17" s="408" t="s">
        <v>692</v>
      </c>
      <c r="B17" s="409"/>
      <c r="C17" s="409"/>
      <c r="D17" s="412"/>
      <c r="E17" s="413"/>
      <c r="F17" s="415">
        <v>0.04</v>
      </c>
    </row>
    <row r="18" spans="1:6" s="316" customFormat="1" ht="15.6">
      <c r="A18" s="408" t="s">
        <v>693</v>
      </c>
      <c r="B18" s="409"/>
      <c r="C18" s="409"/>
      <c r="D18" s="409"/>
      <c r="E18" s="409"/>
      <c r="F18" s="415">
        <v>0.1</v>
      </c>
    </row>
    <row r="19" spans="1:6" s="316" customFormat="1" ht="15.6">
      <c r="A19" s="416" t="s">
        <v>694</v>
      </c>
    </row>
    <row r="20" spans="1:6" s="316" customFormat="1" ht="15.6">
      <c r="A20" s="416" t="s">
        <v>695</v>
      </c>
    </row>
    <row r="21" spans="1:6" s="316" customFormat="1" ht="15.6">
      <c r="A21" s="416" t="s">
        <v>696</v>
      </c>
    </row>
    <row r="22" spans="1:6" s="316" customFormat="1" ht="15.6">
      <c r="A22" s="319"/>
    </row>
    <row r="23" spans="1:6" s="316" customFormat="1" ht="15.6">
      <c r="A23" s="398" t="s">
        <v>697</v>
      </c>
    </row>
    <row r="24" spans="1:6" ht="15.6">
      <c r="A24" s="347" t="s">
        <v>22</v>
      </c>
    </row>
    <row r="25" spans="1:6" ht="15.6">
      <c r="A25" s="347"/>
    </row>
    <row r="26" spans="1:6" ht="15.6">
      <c r="A26" s="347"/>
    </row>
    <row r="27" spans="1:6" ht="15.6">
      <c r="A27" s="347"/>
    </row>
    <row r="28" spans="1:6" ht="15.6">
      <c r="A28" s="347"/>
    </row>
    <row r="29" spans="1:6" ht="15.6">
      <c r="A29" s="347"/>
    </row>
    <row r="30" spans="1:6" ht="15.6">
      <c r="A30" s="347"/>
    </row>
    <row r="31" spans="1:6" ht="15.6">
      <c r="A31" s="347"/>
    </row>
    <row r="32" spans="1:6" ht="15.6">
      <c r="A32" s="347"/>
    </row>
    <row r="33" spans="1:1" ht="15.6">
      <c r="A33" s="347"/>
    </row>
    <row r="34" spans="1:1" ht="15.6">
      <c r="A34" s="347"/>
    </row>
    <row r="35" spans="1:1" ht="15.6">
      <c r="A35" s="347"/>
    </row>
    <row r="36" spans="1:1" ht="15.6">
      <c r="A36" s="347"/>
    </row>
    <row r="37" spans="1:1" ht="15.6">
      <c r="A37" s="356"/>
    </row>
    <row r="38" spans="1:1" s="316" customFormat="1" ht="15.6">
      <c r="A38" s="401" t="s">
        <v>698</v>
      </c>
    </row>
    <row r="39" spans="1:1" s="316" customFormat="1" ht="15.6">
      <c r="A39" s="319"/>
    </row>
    <row r="40" spans="1:1" s="316" customFormat="1" ht="15.6">
      <c r="A40" s="319" t="s">
        <v>699</v>
      </c>
    </row>
    <row r="41" spans="1:1" ht="15.6">
      <c r="A41" s="347" t="s">
        <v>22</v>
      </c>
    </row>
    <row r="42" spans="1:1" ht="15.6">
      <c r="A42" s="35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2080-44A7-4AC1-9E27-C7E8AC6FE3A7}">
  <sheetPr>
    <tabColor theme="2" tint="-0.249977111117893"/>
  </sheetPr>
  <dimension ref="A1:N89"/>
  <sheetViews>
    <sheetView zoomScale="130" zoomScaleNormal="130" workbookViewId="0">
      <selection activeCell="E8" sqref="E8"/>
    </sheetView>
  </sheetViews>
  <sheetFormatPr defaultColWidth="8.5546875" defaultRowHeight="13.2"/>
  <cols>
    <col min="1" max="1" width="25.5546875" style="446" customWidth="1"/>
    <col min="2" max="2" width="13.5546875" style="446" customWidth="1"/>
    <col min="3" max="5" width="10.5546875" style="446" customWidth="1"/>
    <col min="6" max="9" width="8.5546875" style="446"/>
    <col min="10" max="14" width="8.5546875" style="446" customWidth="1"/>
    <col min="15" max="16" width="8.5546875" style="446"/>
    <col min="17" max="24" width="0" style="446" hidden="1" customWidth="1"/>
    <col min="25" max="25" width="8.5546875" style="446"/>
    <col min="26" max="27" width="0" style="446" hidden="1" customWidth="1"/>
    <col min="28" max="28" width="8.5546875" style="446"/>
    <col min="29" max="30" width="0" style="446" hidden="1" customWidth="1"/>
    <col min="31" max="32" width="8.5546875" style="446"/>
    <col min="33" max="33" width="0" style="446" hidden="1" customWidth="1"/>
    <col min="34" max="34" width="8.5546875" style="446"/>
    <col min="35" max="35" width="0" style="446" hidden="1" customWidth="1"/>
    <col min="36" max="36" width="8.5546875" style="446"/>
    <col min="37" max="42" width="0" style="446" hidden="1" customWidth="1"/>
    <col min="43" max="16384" width="8.5546875" style="446"/>
  </cols>
  <sheetData>
    <row r="1" spans="1:14" ht="14.4">
      <c r="A1" s="443" t="s">
        <v>770</v>
      </c>
      <c r="B1" s="444"/>
      <c r="C1" s="445"/>
      <c r="E1" s="447"/>
      <c r="F1" s="448"/>
      <c r="G1" s="449"/>
      <c r="J1" s="449"/>
      <c r="K1" s="449"/>
      <c r="N1" s="447"/>
    </row>
    <row r="2" spans="1:14" ht="14.4">
      <c r="A2" s="445" t="s">
        <v>642</v>
      </c>
      <c r="B2" s="445"/>
      <c r="C2" s="450">
        <v>10000</v>
      </c>
      <c r="D2" s="451"/>
      <c r="E2" s="447"/>
      <c r="F2" s="452"/>
      <c r="H2" s="453"/>
      <c r="I2" s="454"/>
      <c r="M2" s="455"/>
      <c r="N2" s="447"/>
    </row>
    <row r="3" spans="1:14" ht="14.4">
      <c r="A3" s="445" t="s">
        <v>771</v>
      </c>
      <c r="B3" s="445"/>
      <c r="C3" s="450">
        <v>200</v>
      </c>
      <c r="D3" s="451"/>
      <c r="E3" s="447"/>
      <c r="F3" s="452"/>
      <c r="H3" s="453"/>
      <c r="I3" s="454"/>
      <c r="M3" s="455"/>
      <c r="N3" s="447"/>
    </row>
    <row r="4" spans="1:14" ht="14.4">
      <c r="A4" s="445" t="s">
        <v>772</v>
      </c>
      <c r="B4" s="445"/>
      <c r="C4" s="445">
        <v>25</v>
      </c>
      <c r="D4" s="456"/>
      <c r="E4" s="447"/>
      <c r="F4" s="452"/>
      <c r="H4" s="453"/>
      <c r="I4" s="454"/>
      <c r="M4" s="455"/>
      <c r="N4" s="447"/>
    </row>
    <row r="5" spans="1:14" ht="14.4">
      <c r="A5" s="445" t="s">
        <v>773</v>
      </c>
      <c r="B5" s="445"/>
      <c r="C5" s="457">
        <f>1/1000</f>
        <v>1E-3</v>
      </c>
      <c r="D5" s="458"/>
      <c r="E5" s="447"/>
      <c r="F5" s="448"/>
      <c r="I5" s="454"/>
      <c r="N5" s="447"/>
    </row>
    <row r="6" spans="1:14" ht="14.4">
      <c r="A6" s="445" t="s">
        <v>774</v>
      </c>
      <c r="B6" s="445"/>
      <c r="C6" s="457">
        <f>10%</f>
        <v>0.1</v>
      </c>
      <c r="D6" s="458"/>
      <c r="E6" s="447"/>
      <c r="F6" s="452"/>
      <c r="H6" s="453"/>
      <c r="I6" s="454"/>
      <c r="N6" s="447"/>
    </row>
    <row r="7" spans="1:14" ht="14.4">
      <c r="A7" s="445" t="s">
        <v>775</v>
      </c>
      <c r="B7" s="445"/>
      <c r="C7" s="459">
        <f>4%*1</f>
        <v>0.04</v>
      </c>
      <c r="D7" s="460"/>
      <c r="E7" s="447"/>
      <c r="I7" s="454"/>
      <c r="N7" s="447"/>
    </row>
    <row r="8" spans="1:14" ht="46.5" customHeight="1">
      <c r="A8" s="461" t="s">
        <v>776</v>
      </c>
      <c r="B8" s="461"/>
      <c r="C8" s="462">
        <v>0.1</v>
      </c>
      <c r="D8" s="447"/>
      <c r="E8" s="463"/>
      <c r="F8" s="452"/>
      <c r="H8" s="464"/>
      <c r="I8" s="454"/>
      <c r="N8" s="463"/>
    </row>
    <row r="9" spans="1:14">
      <c r="A9" s="465"/>
    </row>
    <row r="10" spans="1:14">
      <c r="A10" s="465" t="s">
        <v>777</v>
      </c>
    </row>
    <row r="11" spans="1:14">
      <c r="A11" s="465"/>
    </row>
    <row r="12" spans="1:14" ht="14.4">
      <c r="C12" s="448" t="s">
        <v>778</v>
      </c>
    </row>
    <row r="14" spans="1:14">
      <c r="A14" s="446" t="s">
        <v>779</v>
      </c>
      <c r="C14" s="446">
        <v>0</v>
      </c>
      <c r="D14" s="446">
        <v>1</v>
      </c>
      <c r="E14" s="446">
        <v>2</v>
      </c>
      <c r="F14" s="446">
        <v>3</v>
      </c>
      <c r="G14" s="446">
        <v>4</v>
      </c>
      <c r="H14" s="446">
        <v>5</v>
      </c>
    </row>
    <row r="15" spans="1:14">
      <c r="A15" s="446" t="s">
        <v>104</v>
      </c>
      <c r="C15" s="446">
        <v>1</v>
      </c>
      <c r="D15" s="446">
        <v>2</v>
      </c>
      <c r="E15" s="446">
        <v>3</v>
      </c>
      <c r="F15" s="446">
        <v>4</v>
      </c>
      <c r="G15" s="446">
        <v>5</v>
      </c>
    </row>
    <row r="18" spans="1:8" ht="14.4">
      <c r="A18" s="466" t="s">
        <v>780</v>
      </c>
      <c r="B18" s="467"/>
      <c r="D18" s="468">
        <f>$C$5</f>
        <v>1E-3</v>
      </c>
      <c r="E18" s="468">
        <f>$C$5</f>
        <v>1E-3</v>
      </c>
      <c r="F18" s="468">
        <f>$C$5</f>
        <v>1E-3</v>
      </c>
      <c r="G18" s="468">
        <f>$C$5</f>
        <v>1E-3</v>
      </c>
      <c r="H18" s="468">
        <f>$C$5</f>
        <v>1E-3</v>
      </c>
    </row>
    <row r="19" spans="1:8" ht="14.4">
      <c r="A19" s="469" t="s">
        <v>781</v>
      </c>
      <c r="B19" s="467"/>
      <c r="C19" s="468"/>
      <c r="D19" s="393">
        <f>$C$6</f>
        <v>0.1</v>
      </c>
      <c r="E19" s="393">
        <f>$C$6</f>
        <v>0.1</v>
      </c>
      <c r="F19" s="393">
        <f>$C$6</f>
        <v>0.1</v>
      </c>
      <c r="G19" s="393">
        <f>$C$6</f>
        <v>0.1</v>
      </c>
      <c r="H19" s="393">
        <f>$C$6</f>
        <v>0.1</v>
      </c>
    </row>
    <row r="20" spans="1:8" ht="14.4">
      <c r="A20" s="470" t="s">
        <v>782</v>
      </c>
      <c r="B20" s="471"/>
      <c r="C20" s="468">
        <f>1</f>
        <v>1</v>
      </c>
      <c r="D20" s="468">
        <f>C20*(1-D18)*(1-D19)</f>
        <v>0.89910000000000001</v>
      </c>
      <c r="E20" s="472">
        <f>D20*(1-E18)*(1-E19)</f>
        <v>0.80838080999999995</v>
      </c>
      <c r="F20" s="472">
        <f>E20*(1-F18)*(1-F19)</f>
        <v>0.72681518627099995</v>
      </c>
      <c r="G20" s="468">
        <f>F20*(1-G18)*(1-G19)</f>
        <v>0.65347953397625602</v>
      </c>
      <c r="H20" s="468">
        <f>G20*(1-H18)*(1-H19)</f>
        <v>0.58754344899805189</v>
      </c>
    </row>
    <row r="21" spans="1:8" ht="14.4">
      <c r="A21" s="471"/>
      <c r="B21" s="471"/>
    </row>
    <row r="22" spans="1:8" ht="14.4">
      <c r="A22" s="448" t="s">
        <v>783</v>
      </c>
      <c r="B22" s="471"/>
    </row>
    <row r="23" spans="1:8">
      <c r="A23" s="446" t="s">
        <v>784</v>
      </c>
      <c r="C23" s="473"/>
      <c r="D23" s="473">
        <f>Premium</f>
        <v>200</v>
      </c>
      <c r="E23" s="473">
        <v>0</v>
      </c>
      <c r="F23" s="473">
        <v>0</v>
      </c>
      <c r="G23" s="473">
        <v>0</v>
      </c>
      <c r="H23" s="473">
        <v>0</v>
      </c>
    </row>
    <row r="24" spans="1:8">
      <c r="A24" s="446" t="s">
        <v>785</v>
      </c>
      <c r="C24" s="473"/>
      <c r="D24" s="473">
        <f>10*C20</f>
        <v>10</v>
      </c>
      <c r="E24" s="473">
        <f>10*D20</f>
        <v>8.9909999999999997</v>
      </c>
      <c r="F24" s="473">
        <f>10*E20</f>
        <v>8.0838080999999988</v>
      </c>
      <c r="G24" s="473">
        <f>10*F20</f>
        <v>7.268151862709999</v>
      </c>
      <c r="H24" s="473">
        <f>10*G20</f>
        <v>6.5347953397625602</v>
      </c>
    </row>
    <row r="25" spans="1:8">
      <c r="A25" s="446" t="s">
        <v>786</v>
      </c>
      <c r="C25" s="473"/>
      <c r="D25" s="473">
        <f>$C$4*C20</f>
        <v>25</v>
      </c>
      <c r="E25" s="473">
        <f>$C$4*D20</f>
        <v>22.477499999999999</v>
      </c>
      <c r="F25" s="473">
        <f>$C$4*E20</f>
        <v>20.209520249999997</v>
      </c>
      <c r="G25" s="473">
        <f>$C$4*F20</f>
        <v>18.170379656774998</v>
      </c>
      <c r="H25" s="473">
        <f>$C$4*G20</f>
        <v>16.336988349406401</v>
      </c>
    </row>
    <row r="26" spans="1:8">
      <c r="C26" s="473"/>
      <c r="D26" s="473"/>
      <c r="E26" s="473"/>
      <c r="F26" s="473"/>
      <c r="G26" s="473"/>
      <c r="H26" s="473"/>
    </row>
    <row r="29" spans="1:8" ht="14.4">
      <c r="A29" s="448" t="s">
        <v>787</v>
      </c>
      <c r="C29" s="446">
        <f t="shared" ref="C29:H29" si="0">(1+LockedInRate)^-C14</f>
        <v>1</v>
      </c>
      <c r="D29" s="446">
        <f t="shared" si="0"/>
        <v>0.96153846153846145</v>
      </c>
      <c r="E29" s="446">
        <f t="shared" si="0"/>
        <v>0.92455621301775137</v>
      </c>
      <c r="F29" s="446">
        <f t="shared" si="0"/>
        <v>0.88899635867091487</v>
      </c>
      <c r="G29" s="446">
        <f t="shared" si="0"/>
        <v>0.85480419102972571</v>
      </c>
      <c r="H29" s="446">
        <f t="shared" si="0"/>
        <v>0.82192710675935154</v>
      </c>
    </row>
    <row r="31" spans="1:8" ht="14.4">
      <c r="B31" s="474" t="s">
        <v>788</v>
      </c>
    </row>
    <row r="32" spans="1:8">
      <c r="A32" s="446" t="s">
        <v>784</v>
      </c>
      <c r="B32" s="475">
        <f>SUM(C32:G32)</f>
        <v>200</v>
      </c>
      <c r="C32" s="476">
        <f>Premium</f>
        <v>200</v>
      </c>
      <c r="D32" s="476">
        <f>E23/(1+LockedInRate)^E14</f>
        <v>0</v>
      </c>
      <c r="E32" s="476">
        <f>F23/(1+LockedInRate)^F14</f>
        <v>0</v>
      </c>
      <c r="F32" s="476">
        <f>G23/(1+LockedInRate)^G14</f>
        <v>0</v>
      </c>
      <c r="G32" s="476">
        <f>H23/(1+LockedInRate)^H14</f>
        <v>0</v>
      </c>
      <c r="H32" s="473"/>
    </row>
    <row r="33" spans="1:8">
      <c r="A33" s="446" t="s">
        <v>785</v>
      </c>
      <c r="B33" s="475">
        <f>SUM(C33:G33)</f>
        <v>36.698517591882215</v>
      </c>
      <c r="C33" s="476">
        <f>D24*D29</f>
        <v>9.615384615384615</v>
      </c>
      <c r="D33" s="476">
        <f>E24*E29</f>
        <v>8.3126849112426022</v>
      </c>
      <c r="E33" s="476">
        <f>F24*F29</f>
        <v>7.1864759650944459</v>
      </c>
      <c r="F33" s="476">
        <f>G24*G29</f>
        <v>6.2128466732850152</v>
      </c>
      <c r="G33" s="476">
        <f>H24*H29</f>
        <v>5.3711254268755351</v>
      </c>
      <c r="H33" s="473"/>
    </row>
    <row r="34" spans="1:8">
      <c r="A34" s="446" t="s">
        <v>786</v>
      </c>
      <c r="B34" s="475">
        <f>SUM(C34:G34)</f>
        <v>95.416145738893761</v>
      </c>
      <c r="C34" s="476">
        <f>D25*C29</f>
        <v>25</v>
      </c>
      <c r="D34" s="476">
        <f>E25*D29</f>
        <v>21.612980769230766</v>
      </c>
      <c r="E34" s="476">
        <f>F25*E29</f>
        <v>18.684837509245558</v>
      </c>
      <c r="F34" s="476">
        <f>G25*F29</f>
        <v>16.153401350541042</v>
      </c>
      <c r="G34" s="476">
        <f>H25*G29</f>
        <v>13.964926109876393</v>
      </c>
      <c r="H34" s="473"/>
    </row>
    <row r="35" spans="1:8">
      <c r="A35" s="446" t="s">
        <v>789</v>
      </c>
      <c r="B35" s="475">
        <f>SUM(C35:G35)</f>
        <v>13.211466333077599</v>
      </c>
      <c r="C35" s="476">
        <f>SUM(C33:C34)*RiskAdj</f>
        <v>3.4615384615384617</v>
      </c>
      <c r="D35" s="476">
        <f>SUM(D33:D34)*RiskAdj</f>
        <v>2.9925665680473372</v>
      </c>
      <c r="E35" s="476">
        <f>SUM(E33:E34)*RiskAdj</f>
        <v>2.5871313474340005</v>
      </c>
      <c r="F35" s="476">
        <f>SUM(F33:F34)*RiskAdj</f>
        <v>2.2366248023826056</v>
      </c>
      <c r="G35" s="476">
        <f>SUM(G33:G34)*RiskAdj</f>
        <v>1.9336051536751928</v>
      </c>
      <c r="H35" s="473"/>
    </row>
    <row r="36" spans="1:8">
      <c r="B36" s="476"/>
      <c r="C36" s="476"/>
      <c r="D36" s="476"/>
      <c r="E36" s="476"/>
      <c r="F36" s="476"/>
      <c r="G36" s="476"/>
    </row>
    <row r="37" spans="1:8" ht="14.4">
      <c r="A37" s="474" t="s">
        <v>790</v>
      </c>
      <c r="B37" s="477">
        <f>B32-SUM(B33:B35)</f>
        <v>54.673870336146422</v>
      </c>
      <c r="C37" s="476"/>
      <c r="D37" s="476"/>
      <c r="E37" s="476"/>
      <c r="F37" s="476"/>
      <c r="G37" s="476"/>
    </row>
    <row r="39" spans="1:8">
      <c r="A39" s="446" t="s">
        <v>791</v>
      </c>
    </row>
    <row r="41" spans="1:8" ht="14.4">
      <c r="A41" s="448" t="s">
        <v>792</v>
      </c>
    </row>
    <row r="42" spans="1:8">
      <c r="A42" s="478" t="s">
        <v>793</v>
      </c>
    </row>
    <row r="43" spans="1:8">
      <c r="A43" s="446" t="s">
        <v>104</v>
      </c>
      <c r="B43" s="446" t="s">
        <v>0</v>
      </c>
      <c r="C43" s="446">
        <v>1</v>
      </c>
      <c r="D43" s="446">
        <v>2</v>
      </c>
      <c r="E43" s="446">
        <v>3</v>
      </c>
      <c r="F43" s="446">
        <v>4</v>
      </c>
      <c r="G43" s="446">
        <v>5</v>
      </c>
    </row>
    <row r="44" spans="1:8">
      <c r="A44" s="446" t="s">
        <v>794</v>
      </c>
      <c r="B44" s="479" t="s">
        <v>0</v>
      </c>
      <c r="C44" s="479">
        <f>FaceAmount</f>
        <v>10000</v>
      </c>
      <c r="D44" s="479">
        <f>$C$44</f>
        <v>10000</v>
      </c>
      <c r="E44" s="479">
        <f>$C$44</f>
        <v>10000</v>
      </c>
      <c r="F44" s="479">
        <f>$C$44</f>
        <v>10000</v>
      </c>
      <c r="G44" s="479">
        <f>$C$44</f>
        <v>10000</v>
      </c>
    </row>
    <row r="45" spans="1:8">
      <c r="A45" s="446" t="s">
        <v>795</v>
      </c>
      <c r="B45" s="479" t="s">
        <v>0</v>
      </c>
      <c r="C45" s="468">
        <f>C20</f>
        <v>1</v>
      </c>
      <c r="D45" s="468">
        <f>D20</f>
        <v>0.89910000000000001</v>
      </c>
      <c r="E45" s="468">
        <f>E20</f>
        <v>0.80838080999999995</v>
      </c>
      <c r="F45" s="468">
        <f>F20</f>
        <v>0.72681518627099995</v>
      </c>
      <c r="G45" s="468">
        <f>G20</f>
        <v>0.65347953397625602</v>
      </c>
    </row>
    <row r="46" spans="1:8">
      <c r="A46" s="446" t="s">
        <v>796</v>
      </c>
      <c r="B46" s="479" t="s">
        <v>0</v>
      </c>
      <c r="C46" s="479">
        <f>C44*C45</f>
        <v>10000</v>
      </c>
      <c r="D46" s="479">
        <f>D44*D45</f>
        <v>8991</v>
      </c>
      <c r="E46" s="479">
        <f>E44*E45</f>
        <v>8083.8080999999993</v>
      </c>
      <c r="F46" s="479">
        <f>F44*F45</f>
        <v>7268.1518627099995</v>
      </c>
      <c r="G46" s="479">
        <f>G44*G45</f>
        <v>6534.7953397625606</v>
      </c>
    </row>
    <row r="47" spans="1:8">
      <c r="A47" s="446" t="s">
        <v>797</v>
      </c>
      <c r="B47" s="479" t="s">
        <v>0</v>
      </c>
      <c r="C47" s="479">
        <f>SUM(C$46:$G46)</f>
        <v>40877.755302472557</v>
      </c>
      <c r="D47" s="479">
        <f>SUM(D$46:$G46)</f>
        <v>30877.755302472557</v>
      </c>
      <c r="E47" s="479">
        <f>SUM(E$46:$G46)</f>
        <v>21886.75530247256</v>
      </c>
      <c r="F47" s="479">
        <f>SUM(F$46:$G46)</f>
        <v>13802.94720247256</v>
      </c>
      <c r="G47" s="479">
        <f>SUM(G$46:$G46)</f>
        <v>6534.7953397625606</v>
      </c>
    </row>
    <row r="48" spans="1:8">
      <c r="A48" s="446" t="s">
        <v>798</v>
      </c>
      <c r="B48" s="479" t="s">
        <v>0</v>
      </c>
      <c r="C48" s="468">
        <f>C46/C47</f>
        <v>0.24463182789773033</v>
      </c>
      <c r="D48" s="468">
        <f>D46/D47</f>
        <v>0.29118049262084927</v>
      </c>
      <c r="E48" s="468">
        <f>E46/E47</f>
        <v>0.36934703149382614</v>
      </c>
      <c r="F48" s="468">
        <f>F46/F47</f>
        <v>0.52656521510189036</v>
      </c>
      <c r="G48" s="468">
        <f>G46/G47</f>
        <v>1</v>
      </c>
    </row>
    <row r="50" spans="1:7" ht="14.4">
      <c r="A50" s="448" t="s">
        <v>799</v>
      </c>
    </row>
    <row r="52" spans="1:7">
      <c r="A52" s="446" t="s">
        <v>104</v>
      </c>
      <c r="B52" s="446" t="s">
        <v>0</v>
      </c>
      <c r="C52" s="446">
        <v>1</v>
      </c>
      <c r="D52" s="446">
        <v>2</v>
      </c>
      <c r="E52" s="446">
        <v>3</v>
      </c>
      <c r="F52" s="446">
        <v>4</v>
      </c>
      <c r="G52" s="446">
        <v>5</v>
      </c>
    </row>
    <row r="53" spans="1:7">
      <c r="A53" s="446" t="s">
        <v>800</v>
      </c>
      <c r="C53" s="480">
        <f>B37</f>
        <v>54.673870336146422</v>
      </c>
      <c r="D53" s="480">
        <f>C58</f>
        <v>42.950857557474286</v>
      </c>
      <c r="E53" s="480">
        <f>D58</f>
        <v>17.485791775634024</v>
      </c>
      <c r="F53" s="480">
        <f>E58</f>
        <v>11.468565149583817</v>
      </c>
      <c r="G53" s="480">
        <f>F58</f>
        <v>5.646802381670498</v>
      </c>
    </row>
    <row r="54" spans="1:7">
      <c r="A54" s="446" t="s">
        <v>801</v>
      </c>
      <c r="C54" s="480"/>
      <c r="D54" s="480"/>
      <c r="E54" s="480"/>
      <c r="F54" s="480"/>
      <c r="G54" s="480"/>
    </row>
    <row r="55" spans="1:7">
      <c r="A55" s="446" t="s">
        <v>802</v>
      </c>
      <c r="C55" s="480">
        <f>C53*LockedInRate</f>
        <v>2.186954813445857</v>
      </c>
      <c r="D55" s="480">
        <f>D53*LockedInRate</f>
        <v>1.7180343022989715</v>
      </c>
      <c r="E55" s="480">
        <f>E53*LockedInRate</f>
        <v>0.69943167102536097</v>
      </c>
      <c r="F55" s="480">
        <f>F53*LockedInRate</f>
        <v>0.4587426059833527</v>
      </c>
      <c r="G55" s="480">
        <f>G53*LockedInRate</f>
        <v>0.22587209526681992</v>
      </c>
    </row>
    <row r="56" spans="1:7">
      <c r="A56" s="446" t="s">
        <v>803</v>
      </c>
      <c r="C56" s="480"/>
      <c r="D56" s="480">
        <v>-20</v>
      </c>
      <c r="E56" s="480"/>
      <c r="F56" s="480"/>
      <c r="G56" s="480"/>
    </row>
    <row r="57" spans="1:7">
      <c r="A57" s="446" t="s">
        <v>804</v>
      </c>
      <c r="C57" s="480">
        <f>-SUM(C53:C56)*C48</f>
        <v>-13.909967592117995</v>
      </c>
      <c r="D57" s="480">
        <f>-SUM(D53:D56)*D48</f>
        <v>-7.1831000841392365</v>
      </c>
      <c r="E57" s="480">
        <f>-SUM(E53:E56)*E48</f>
        <v>-6.7166582970755693</v>
      </c>
      <c r="F57" s="480">
        <f>-SUM(F53:F56)*F48</f>
        <v>-6.2805053738966725</v>
      </c>
      <c r="G57" s="480">
        <f>-SUM(G53:G56)*G48</f>
        <v>-5.872674476937318</v>
      </c>
    </row>
    <row r="58" spans="1:7">
      <c r="A58" s="446" t="s">
        <v>805</v>
      </c>
      <c r="C58" s="480">
        <f>SUM(C53:C57)</f>
        <v>42.950857557474286</v>
      </c>
      <c r="D58" s="480">
        <f>SUM(D53:D57)</f>
        <v>17.485791775634024</v>
      </c>
      <c r="E58" s="480">
        <f>SUM(E53:E57)</f>
        <v>11.468565149583817</v>
      </c>
      <c r="F58" s="480">
        <f>SUM(F53:F57)</f>
        <v>5.646802381670498</v>
      </c>
      <c r="G58" s="480">
        <f>SUM(G53:G57)</f>
        <v>0</v>
      </c>
    </row>
    <row r="60" spans="1:7">
      <c r="C60" s="480"/>
      <c r="D60" s="480"/>
      <c r="E60" s="480"/>
      <c r="F60" s="480"/>
      <c r="G60" s="480"/>
    </row>
    <row r="61" spans="1:7">
      <c r="A61" s="481" t="s">
        <v>806</v>
      </c>
      <c r="C61" s="480"/>
      <c r="D61" s="480"/>
      <c r="E61" s="480"/>
      <c r="F61" s="480"/>
      <c r="G61" s="480"/>
    </row>
    <row r="62" spans="1:7">
      <c r="A62" s="446" t="s">
        <v>104</v>
      </c>
      <c r="B62" s="446" t="s">
        <v>0</v>
      </c>
      <c r="C62" s="446">
        <v>1</v>
      </c>
      <c r="D62" s="446">
        <v>2</v>
      </c>
      <c r="E62" s="446">
        <v>3</v>
      </c>
      <c r="F62" s="446">
        <v>4</v>
      </c>
      <c r="G62" s="446">
        <v>5</v>
      </c>
    </row>
    <row r="63" spans="1:7">
      <c r="A63" s="446" t="s">
        <v>794</v>
      </c>
      <c r="B63" s="479" t="s">
        <v>0</v>
      </c>
      <c r="C63" s="479">
        <f>FaceAmount</f>
        <v>10000</v>
      </c>
      <c r="D63" s="479">
        <f>$C$44</f>
        <v>10000</v>
      </c>
      <c r="E63" s="479">
        <f>$C$44</f>
        <v>10000</v>
      </c>
      <c r="F63" s="479">
        <f>$C$44</f>
        <v>10000</v>
      </c>
      <c r="G63" s="479">
        <f>$C$44</f>
        <v>10000</v>
      </c>
    </row>
    <row r="64" spans="1:7">
      <c r="A64" s="446" t="s">
        <v>795</v>
      </c>
      <c r="B64" s="479" t="s">
        <v>0</v>
      </c>
      <c r="C64" s="393">
        <f>C20</f>
        <v>1</v>
      </c>
      <c r="D64" s="393">
        <f>D20</f>
        <v>0.89910000000000001</v>
      </c>
      <c r="E64" s="393">
        <f>E20</f>
        <v>0.80838080999999995</v>
      </c>
      <c r="F64" s="393">
        <f>F20</f>
        <v>0.72681518627099995</v>
      </c>
      <c r="G64" s="393">
        <f>G20</f>
        <v>0.65347953397625602</v>
      </c>
    </row>
    <row r="65" spans="1:7">
      <c r="A65" s="446" t="s">
        <v>796</v>
      </c>
      <c r="B65" s="479" t="s">
        <v>0</v>
      </c>
      <c r="C65" s="479">
        <f>C63*C64</f>
        <v>10000</v>
      </c>
      <c r="D65" s="479">
        <f>D63*D64</f>
        <v>8991</v>
      </c>
      <c r="E65" s="479">
        <f>E63*E64</f>
        <v>8083.8080999999993</v>
      </c>
      <c r="F65" s="479">
        <f>F63*F64</f>
        <v>7268.1518627099995</v>
      </c>
      <c r="G65" s="479">
        <f>G63*G64</f>
        <v>6534.7953397625606</v>
      </c>
    </row>
    <row r="66" spans="1:7">
      <c r="A66" s="446" t="s">
        <v>797</v>
      </c>
      <c r="B66" s="479" t="s">
        <v>0</v>
      </c>
      <c r="C66" s="479">
        <f>NPV(LockedInRate, D65:G65)+C65</f>
        <v>38166.458295557502</v>
      </c>
      <c r="D66" s="479">
        <f>NPV(LockedInRate, E65:G65)+D65</f>
        <v>29293.116627379808</v>
      </c>
      <c r="E66" s="479">
        <f>NPV(LockedInRate, F65:G65)+E65</f>
        <v>21114.201292474998</v>
      </c>
      <c r="F66" s="479">
        <f>NPV(LockedInRate, G65:G65)+F65</f>
        <v>13551.608920174</v>
      </c>
      <c r="G66" s="479">
        <f>NPV(LockedInRate, H65:K65)+G65</f>
        <v>6534.7953397625606</v>
      </c>
    </row>
    <row r="67" spans="1:7">
      <c r="A67" s="446" t="s">
        <v>798</v>
      </c>
      <c r="B67" s="479" t="s">
        <v>0</v>
      </c>
      <c r="C67" s="393">
        <f>C65/C66</f>
        <v>0.26201016407026634</v>
      </c>
      <c r="D67" s="393">
        <f>D65/D66</f>
        <v>0.30693217503514991</v>
      </c>
      <c r="E67" s="393">
        <f>E65/E66</f>
        <v>0.382861183713401</v>
      </c>
      <c r="F67" s="393">
        <f>F65/F66</f>
        <v>0.53633128771079364</v>
      </c>
      <c r="G67" s="393">
        <f>G65/G66</f>
        <v>1</v>
      </c>
    </row>
    <row r="69" spans="1:7">
      <c r="A69" s="446" t="s">
        <v>104</v>
      </c>
      <c r="B69" s="446" t="s">
        <v>0</v>
      </c>
      <c r="C69" s="446">
        <v>1</v>
      </c>
      <c r="D69" s="446">
        <v>2</v>
      </c>
      <c r="E69" s="446">
        <v>3</v>
      </c>
      <c r="F69" s="446">
        <v>4</v>
      </c>
      <c r="G69" s="446">
        <v>5</v>
      </c>
    </row>
    <row r="70" spans="1:7">
      <c r="A70" s="446" t="s">
        <v>800</v>
      </c>
      <c r="C70" s="480">
        <f>B37</f>
        <v>54.673870336146422</v>
      </c>
      <c r="D70" s="480">
        <f>C75</f>
        <v>41.962711022976876</v>
      </c>
      <c r="E70" s="480">
        <f>D75</f>
        <v>16.384968553359045</v>
      </c>
      <c r="F70" s="480">
        <f>E75</f>
        <v>10.516272101829676</v>
      </c>
      <c r="G70" s="480">
        <f>F75</f>
        <v>5.0711089972798025</v>
      </c>
    </row>
    <row r="71" spans="1:7">
      <c r="A71" s="446" t="s">
        <v>801</v>
      </c>
      <c r="C71" s="480"/>
      <c r="D71" s="480"/>
      <c r="E71" s="480"/>
      <c r="F71" s="480"/>
      <c r="G71" s="480"/>
    </row>
    <row r="72" spans="1:7">
      <c r="A72" s="446" t="s">
        <v>802</v>
      </c>
      <c r="C72" s="480">
        <f>C70*LockedInRate</f>
        <v>2.186954813445857</v>
      </c>
      <c r="D72" s="480">
        <f>D70*LockedInRate</f>
        <v>1.6785084409190751</v>
      </c>
      <c r="E72" s="480">
        <f>E70*LockedInRate</f>
        <v>0.65539874213436178</v>
      </c>
      <c r="F72" s="480">
        <f>F70*LockedInRate</f>
        <v>0.42065088407318707</v>
      </c>
      <c r="G72" s="480">
        <f>G70*LockedInRate</f>
        <v>0.20284435989119209</v>
      </c>
    </row>
    <row r="73" spans="1:7">
      <c r="A73" s="446" t="s">
        <v>803</v>
      </c>
      <c r="C73" s="480"/>
      <c r="D73" s="480">
        <v>-20</v>
      </c>
      <c r="E73" s="480"/>
      <c r="F73" s="480"/>
      <c r="G73" s="480"/>
    </row>
    <row r="74" spans="1:7">
      <c r="A74" s="446" t="s">
        <v>804</v>
      </c>
      <c r="C74" s="480">
        <f>-SUM(C70:C73)*C67</f>
        <v>-14.8981141266154</v>
      </c>
      <c r="D74" s="480">
        <f>-SUM(D70:D73)*D67</f>
        <v>-7.2562509105369051</v>
      </c>
      <c r="E74" s="480">
        <f>-SUM(E70:E73)*E67</f>
        <v>-6.5240951936637313</v>
      </c>
      <c r="F74" s="480">
        <f>-SUM(F70:F73)*F67</f>
        <v>-5.86581398862306</v>
      </c>
      <c r="G74" s="480">
        <f>-SUM(G70:G73)*G67</f>
        <v>-5.2739533571709947</v>
      </c>
    </row>
    <row r="75" spans="1:7">
      <c r="A75" s="446" t="s">
        <v>805</v>
      </c>
      <c r="C75" s="480">
        <f>SUM(C70:C74)</f>
        <v>41.962711022976876</v>
      </c>
      <c r="D75" s="480">
        <f>SUM(D70:D74)</f>
        <v>16.384968553359045</v>
      </c>
      <c r="E75" s="480">
        <f>SUM(E70:E74)</f>
        <v>10.516272101829676</v>
      </c>
      <c r="F75" s="480">
        <f>SUM(F70:F74)</f>
        <v>5.0711089972798025</v>
      </c>
      <c r="G75" s="480">
        <f>SUM(G70:G74)</f>
        <v>0</v>
      </c>
    </row>
    <row r="81" s="446" customFormat="1"/>
    <row r="82" s="446" customFormat="1"/>
    <row r="83" s="446" customFormat="1"/>
    <row r="84" s="446" customFormat="1"/>
    <row r="85" s="446" customFormat="1"/>
    <row r="86" s="446" customFormat="1"/>
    <row r="87" s="446" customFormat="1"/>
    <row r="88" s="446" customFormat="1"/>
    <row r="89" s="446" customFormat="1"/>
  </sheetData>
  <pageMargins left="0.7" right="0.7" top="0.75" bottom="0.75" header="0.3" footer="0.3"/>
  <pageSetup orientation="portrait" r:id="rId1"/>
  <headerFooter>
    <oddFooter>&amp;C&amp;1#&amp;"Calibri"&amp;10&amp;K000000CONFIDENTIAL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03290-0081-4A5D-BC5C-BE9CD2B96052}">
  <sheetPr>
    <tabColor theme="2" tint="-9.9978637043366805E-2"/>
  </sheetPr>
  <dimension ref="A1:B36"/>
  <sheetViews>
    <sheetView workbookViewId="0">
      <selection activeCell="H13" sqref="H13"/>
    </sheetView>
  </sheetViews>
  <sheetFormatPr defaultColWidth="8.77734375" defaultRowHeight="14.4"/>
  <cols>
    <col min="1" max="1" width="42.44140625" style="328" customWidth="1"/>
    <col min="2" max="16384" width="8.77734375" style="328"/>
  </cols>
  <sheetData>
    <row r="1" spans="1:2" s="316" customFormat="1" ht="17.399999999999999">
      <c r="A1" s="315" t="s">
        <v>700</v>
      </c>
    </row>
    <row r="2" spans="1:2" s="316" customFormat="1" ht="15.6">
      <c r="A2" s="317" t="s">
        <v>701</v>
      </c>
    </row>
    <row r="3" spans="1:2" s="316" customFormat="1" ht="15.6">
      <c r="A3" s="317" t="s">
        <v>702</v>
      </c>
    </row>
    <row r="4" spans="1:2" s="316" customFormat="1"/>
    <row r="5" spans="1:2" s="316" customFormat="1" ht="15.6">
      <c r="A5" s="380" t="s">
        <v>703</v>
      </c>
    </row>
    <row r="6" spans="1:2" s="316" customFormat="1" ht="16.2" thickBot="1">
      <c r="A6" s="380"/>
    </row>
    <row r="7" spans="1:2" s="316" customFormat="1" ht="16.05" customHeight="1" thickBot="1">
      <c r="A7" s="417" t="s">
        <v>704</v>
      </c>
      <c r="B7" s="418">
        <v>8000</v>
      </c>
    </row>
    <row r="8" spans="1:2" s="316" customFormat="1" ht="16.05" customHeight="1" thickBot="1">
      <c r="A8" s="363" t="s">
        <v>705</v>
      </c>
      <c r="B8" s="419">
        <v>1000</v>
      </c>
    </row>
    <row r="9" spans="1:2" s="316" customFormat="1" ht="16.05" customHeight="1" thickBot="1">
      <c r="A9" s="363" t="s">
        <v>706</v>
      </c>
      <c r="B9" s="419">
        <v>1000</v>
      </c>
    </row>
    <row r="10" spans="1:2" s="316" customFormat="1" ht="16.05" customHeight="1" thickBot="1">
      <c r="A10" s="363" t="s">
        <v>707</v>
      </c>
      <c r="B10" s="419">
        <v>3000</v>
      </c>
    </row>
    <row r="11" spans="1:2" s="316" customFormat="1" ht="16.05" customHeight="1" thickBot="1">
      <c r="A11" s="363" t="s">
        <v>708</v>
      </c>
      <c r="B11" s="419">
        <v>3000</v>
      </c>
    </row>
    <row r="12" spans="1:2" s="316" customFormat="1" ht="16.05" customHeight="1" thickBot="1">
      <c r="A12" s="363" t="s">
        <v>709</v>
      </c>
      <c r="B12" s="419">
        <v>1000</v>
      </c>
    </row>
    <row r="13" spans="1:2" s="316" customFormat="1" ht="16.05" customHeight="1" thickBot="1">
      <c r="A13" s="363" t="s">
        <v>710</v>
      </c>
      <c r="B13" s="419">
        <v>2000</v>
      </c>
    </row>
    <row r="14" spans="1:2" s="316" customFormat="1" ht="16.05" customHeight="1" thickBot="1">
      <c r="A14" s="363" t="s">
        <v>711</v>
      </c>
      <c r="B14" s="419">
        <v>2000</v>
      </c>
    </row>
    <row r="15" spans="1:2" s="316" customFormat="1" ht="16.05" customHeight="1" thickBot="1">
      <c r="A15" s="363" t="s">
        <v>712</v>
      </c>
      <c r="B15" s="419">
        <v>2500</v>
      </c>
    </row>
    <row r="16" spans="1:2" s="316" customFormat="1" ht="15.6">
      <c r="A16" s="319"/>
    </row>
    <row r="17" spans="1:1" s="316" customFormat="1" ht="15.6">
      <c r="A17" s="319" t="s">
        <v>42</v>
      </c>
    </row>
    <row r="18" spans="1:1" s="316" customFormat="1" ht="15.6">
      <c r="A18" s="416" t="s">
        <v>713</v>
      </c>
    </row>
    <row r="19" spans="1:1" s="316" customFormat="1" ht="15.6">
      <c r="A19" s="416" t="s">
        <v>714</v>
      </c>
    </row>
    <row r="20" spans="1:1" s="316" customFormat="1" ht="15.6">
      <c r="A20" s="319"/>
    </row>
    <row r="21" spans="1:1" s="316" customFormat="1" ht="15.6">
      <c r="A21" s="398" t="s">
        <v>715</v>
      </c>
    </row>
    <row r="22" spans="1:1" ht="15.6">
      <c r="A22" s="347" t="s">
        <v>22</v>
      </c>
    </row>
    <row r="23" spans="1:1" ht="15.6">
      <c r="A23" s="347"/>
    </row>
    <row r="24" spans="1:1" ht="15.6">
      <c r="A24" s="347"/>
    </row>
    <row r="25" spans="1:1" ht="15.6">
      <c r="A25" s="347"/>
    </row>
    <row r="26" spans="1:1" ht="15.6">
      <c r="A26" s="347"/>
    </row>
    <row r="27" spans="1:1" ht="15.6">
      <c r="A27" s="347"/>
    </row>
    <row r="28" spans="1:1" ht="15.6">
      <c r="A28" s="347"/>
    </row>
    <row r="29" spans="1:1" ht="15.6">
      <c r="A29" s="347"/>
    </row>
    <row r="30" spans="1:1" ht="15.6">
      <c r="A30" s="347"/>
    </row>
    <row r="31" spans="1:1" ht="15.6">
      <c r="A31" s="347"/>
    </row>
    <row r="32" spans="1:1" ht="15.6">
      <c r="A32" s="347"/>
    </row>
    <row r="33" spans="1:1" ht="15.6">
      <c r="A33" s="420"/>
    </row>
    <row r="34" spans="1:1" ht="15.6">
      <c r="A34" s="421"/>
    </row>
    <row r="35" spans="1:1" s="316" customFormat="1" ht="15.6">
      <c r="A35" s="398" t="s">
        <v>716</v>
      </c>
    </row>
    <row r="36" spans="1:1" ht="15.6">
      <c r="A36" s="347" t="s">
        <v>22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3B5B6-7FF0-43B5-9EE6-D1853F304CA9}">
  <sheetPr>
    <tabColor theme="2" tint="-9.9978637043366805E-2"/>
  </sheetPr>
  <dimension ref="A1:G19"/>
  <sheetViews>
    <sheetView workbookViewId="0">
      <selection activeCell="B19" sqref="B19"/>
    </sheetView>
  </sheetViews>
  <sheetFormatPr defaultColWidth="8.77734375" defaultRowHeight="14.4"/>
  <cols>
    <col min="1" max="1" width="45.44140625" style="328" customWidth="1"/>
    <col min="2" max="16384" width="8.77734375" style="328"/>
  </cols>
  <sheetData>
    <row r="1" spans="1:7" s="316" customFormat="1" ht="17.399999999999999">
      <c r="A1" s="315" t="s">
        <v>717</v>
      </c>
    </row>
    <row r="2" spans="1:7" s="316" customFormat="1" ht="15.6">
      <c r="A2" s="317" t="s">
        <v>718</v>
      </c>
    </row>
    <row r="3" spans="1:7" s="316" customFormat="1" ht="15.6">
      <c r="A3" s="317" t="s">
        <v>130</v>
      </c>
    </row>
    <row r="4" spans="1:7" s="316" customFormat="1"/>
    <row r="5" spans="1:7" s="316" customFormat="1" ht="15.6">
      <c r="A5" s="332" t="s">
        <v>719</v>
      </c>
    </row>
    <row r="6" spans="1:7" s="316" customFormat="1" ht="15.6">
      <c r="A6" s="319"/>
    </row>
    <row r="7" spans="1:7" s="316" customFormat="1" ht="15.6">
      <c r="A7" s="409"/>
      <c r="B7" s="422" t="s">
        <v>3</v>
      </c>
      <c r="C7" s="422" t="s">
        <v>44</v>
      </c>
      <c r="D7" s="422" t="s">
        <v>45</v>
      </c>
      <c r="E7" s="422" t="s">
        <v>52</v>
      </c>
      <c r="F7" s="422" t="s">
        <v>53</v>
      </c>
      <c r="G7" s="422" t="s">
        <v>720</v>
      </c>
    </row>
    <row r="8" spans="1:7" s="316" customFormat="1" ht="15.6">
      <c r="A8" s="423" t="s">
        <v>721</v>
      </c>
      <c r="B8" s="422">
        <v>1000</v>
      </c>
      <c r="C8" s="422">
        <v>800</v>
      </c>
      <c r="D8" s="422">
        <v>600</v>
      </c>
      <c r="E8" s="422">
        <v>400</v>
      </c>
      <c r="F8" s="422">
        <v>200</v>
      </c>
      <c r="G8" s="422">
        <v>0</v>
      </c>
    </row>
    <row r="9" spans="1:7" s="316" customFormat="1" ht="15.6">
      <c r="A9" s="423" t="s">
        <v>254</v>
      </c>
      <c r="B9" s="422">
        <v>50</v>
      </c>
      <c r="C9" s="422">
        <v>40</v>
      </c>
      <c r="D9" s="422">
        <v>30</v>
      </c>
      <c r="E9" s="422">
        <v>20</v>
      </c>
      <c r="F9" s="422">
        <v>10</v>
      </c>
      <c r="G9" s="422">
        <v>0</v>
      </c>
    </row>
    <row r="10" spans="1:7" s="316" customFormat="1" ht="15.6">
      <c r="A10" s="319"/>
    </row>
    <row r="11" spans="1:7" s="316" customFormat="1" ht="15.6">
      <c r="A11" s="423" t="s">
        <v>722</v>
      </c>
      <c r="B11" s="424">
        <v>1.5</v>
      </c>
    </row>
    <row r="12" spans="1:7" s="316" customFormat="1" ht="15.6">
      <c r="A12" s="423" t="s">
        <v>723</v>
      </c>
      <c r="B12" s="424">
        <v>0.04</v>
      </c>
    </row>
    <row r="13" spans="1:7" s="316" customFormat="1" ht="15.6">
      <c r="A13" s="423" t="s">
        <v>724</v>
      </c>
      <c r="B13" s="424">
        <v>0.25</v>
      </c>
    </row>
    <row r="14" spans="1:7" s="316" customFormat="1" ht="15.6">
      <c r="A14" s="423" t="s">
        <v>725</v>
      </c>
      <c r="B14" s="424">
        <v>0.1</v>
      </c>
    </row>
    <row r="15" spans="1:7" s="316" customFormat="1" ht="15.6">
      <c r="A15" s="319"/>
    </row>
    <row r="16" spans="1:7" s="316" customFormat="1" ht="15.6">
      <c r="A16" s="319" t="s">
        <v>726</v>
      </c>
    </row>
    <row r="17" spans="1:1" s="316" customFormat="1" ht="15.6">
      <c r="A17" s="319"/>
    </row>
    <row r="18" spans="1:1" s="316" customFormat="1" ht="15.6">
      <c r="A18" s="319" t="s">
        <v>727</v>
      </c>
    </row>
    <row r="19" spans="1:1" ht="15.6">
      <c r="A19" s="347" t="s">
        <v>22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9531-AB52-4977-996A-9E3DC88A8197}">
  <sheetPr>
    <tabColor theme="2" tint="-9.9978637043366805E-2"/>
  </sheetPr>
  <dimension ref="A1:C26"/>
  <sheetViews>
    <sheetView workbookViewId="0">
      <selection activeCell="B19" sqref="B19"/>
    </sheetView>
  </sheetViews>
  <sheetFormatPr defaultColWidth="8.77734375" defaultRowHeight="14.4"/>
  <cols>
    <col min="1" max="1" width="12.77734375" style="328" customWidth="1"/>
    <col min="2" max="2" width="16.77734375" style="328" customWidth="1"/>
    <col min="3" max="3" width="20.5546875" style="328" customWidth="1"/>
    <col min="4" max="16384" width="8.77734375" style="328"/>
  </cols>
  <sheetData>
    <row r="1" spans="1:3" s="316" customFormat="1" ht="17.399999999999999">
      <c r="A1" s="315" t="s">
        <v>728</v>
      </c>
    </row>
    <row r="2" spans="1:3" s="316" customFormat="1" ht="15.6">
      <c r="A2" s="317" t="s">
        <v>109</v>
      </c>
    </row>
    <row r="3" spans="1:3" s="316" customFormat="1" ht="15.6">
      <c r="A3" s="317" t="s">
        <v>107</v>
      </c>
    </row>
    <row r="4" spans="1:3" s="316" customFormat="1"/>
    <row r="5" spans="1:3" s="316" customFormat="1" ht="15.6">
      <c r="A5" s="398" t="s">
        <v>729</v>
      </c>
    </row>
    <row r="6" spans="1:3" s="316" customFormat="1" ht="15.6">
      <c r="A6" s="319"/>
    </row>
    <row r="7" spans="1:3" s="316" customFormat="1" ht="15.6">
      <c r="A7" s="416" t="s">
        <v>730</v>
      </c>
    </row>
    <row r="8" spans="1:3" s="316" customFormat="1" ht="15.6">
      <c r="A8" s="416" t="s">
        <v>731</v>
      </c>
    </row>
    <row r="9" spans="1:3" s="316" customFormat="1" ht="15.6">
      <c r="A9" s="416" t="s">
        <v>732</v>
      </c>
    </row>
    <row r="10" spans="1:3" s="316" customFormat="1" ht="15.6">
      <c r="A10" s="416" t="s">
        <v>733</v>
      </c>
    </row>
    <row r="11" spans="1:3" s="316" customFormat="1" ht="15.6">
      <c r="A11" s="416" t="s">
        <v>734</v>
      </c>
    </row>
    <row r="12" spans="1:3" s="316" customFormat="1" ht="15.6">
      <c r="A12" s="416" t="s">
        <v>735</v>
      </c>
    </row>
    <row r="13" spans="1:3" s="316" customFormat="1" ht="15.6">
      <c r="A13" s="416" t="s">
        <v>736</v>
      </c>
    </row>
    <row r="14" spans="1:3" s="316" customFormat="1" ht="16.2" thickBot="1">
      <c r="A14" s="425"/>
    </row>
    <row r="15" spans="1:3" s="316" customFormat="1" ht="30" customHeight="1" thickBot="1">
      <c r="A15" s="417"/>
      <c r="B15" s="772" t="s">
        <v>737</v>
      </c>
      <c r="C15" s="773"/>
    </row>
    <row r="16" spans="1:3" s="316" customFormat="1" ht="31.8" thickBot="1">
      <c r="A16" s="426" t="s">
        <v>536</v>
      </c>
      <c r="B16" s="427" t="s">
        <v>738</v>
      </c>
      <c r="C16" s="428" t="s">
        <v>739</v>
      </c>
    </row>
    <row r="17" spans="1:3" s="316" customFormat="1" ht="16.2" thickBot="1">
      <c r="A17" s="426">
        <v>50</v>
      </c>
      <c r="B17" s="428">
        <v>0.5</v>
      </c>
      <c r="C17" s="428">
        <v>1</v>
      </c>
    </row>
    <row r="18" spans="1:3" s="316" customFormat="1" ht="16.2" thickBot="1">
      <c r="A18" s="426">
        <v>51</v>
      </c>
      <c r="B18" s="428">
        <v>1</v>
      </c>
      <c r="C18" s="428">
        <v>1.5</v>
      </c>
    </row>
    <row r="19" spans="1:3" s="316" customFormat="1" ht="16.2" thickBot="1">
      <c r="A19" s="426">
        <v>52</v>
      </c>
      <c r="B19" s="428">
        <v>1.5</v>
      </c>
      <c r="C19" s="428">
        <v>2</v>
      </c>
    </row>
    <row r="20" spans="1:3" s="316" customFormat="1" ht="15.6">
      <c r="A20" s="425"/>
    </row>
    <row r="21" spans="1:3" s="316" customFormat="1" ht="15.6">
      <c r="A21" s="319"/>
    </row>
    <row r="22" spans="1:3" s="316" customFormat="1" ht="15.6">
      <c r="A22" s="319" t="s">
        <v>740</v>
      </c>
    </row>
    <row r="23" spans="1:3" s="316" customFormat="1" ht="15.6">
      <c r="A23" s="319"/>
    </row>
    <row r="24" spans="1:3" s="316" customFormat="1" ht="15.6">
      <c r="A24" s="319" t="s">
        <v>741</v>
      </c>
    </row>
    <row r="25" spans="1:3" s="316" customFormat="1" ht="15.6">
      <c r="A25" s="319" t="s">
        <v>467</v>
      </c>
    </row>
    <row r="26" spans="1:3" ht="15.6">
      <c r="A26" s="347" t="s">
        <v>22</v>
      </c>
    </row>
  </sheetData>
  <mergeCells count="1">
    <mergeCell ref="B15:C1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72B89-E7DE-4995-A95A-ECB2B5D95BCB}">
  <sheetPr>
    <tabColor theme="2" tint="-9.9978637043366805E-2"/>
  </sheetPr>
  <dimension ref="A1:H38"/>
  <sheetViews>
    <sheetView workbookViewId="0">
      <selection activeCell="B19" sqref="B19"/>
    </sheetView>
  </sheetViews>
  <sheetFormatPr defaultColWidth="8.77734375" defaultRowHeight="14.4"/>
  <cols>
    <col min="1" max="2" width="8.77734375" style="328"/>
    <col min="3" max="3" width="12.77734375" style="328" customWidth="1"/>
    <col min="4" max="6" width="8.77734375" style="328"/>
    <col min="7" max="7" width="41" style="328" customWidth="1"/>
    <col min="8" max="16384" width="8.77734375" style="328"/>
  </cols>
  <sheetData>
    <row r="1" spans="1:3" s="316" customFormat="1" ht="17.399999999999999">
      <c r="A1" s="315" t="s">
        <v>742</v>
      </c>
    </row>
    <row r="2" spans="1:3" s="316" customFormat="1" ht="15.6">
      <c r="A2" s="317" t="s">
        <v>743</v>
      </c>
    </row>
    <row r="3" spans="1:3" s="316" customFormat="1" ht="15.6">
      <c r="A3" s="317" t="s">
        <v>744</v>
      </c>
    </row>
    <row r="4" spans="1:3" s="316" customFormat="1"/>
    <row r="5" spans="1:3" s="316" customFormat="1" ht="15.6">
      <c r="A5" s="398" t="s">
        <v>745</v>
      </c>
    </row>
    <row r="6" spans="1:3" s="316" customFormat="1" ht="16.2" thickBot="1">
      <c r="A6" s="429"/>
    </row>
    <row r="7" spans="1:3" s="316" customFormat="1" ht="31.8" thickBot="1">
      <c r="A7" s="430" t="s">
        <v>746</v>
      </c>
      <c r="B7" s="404" t="s">
        <v>299</v>
      </c>
      <c r="C7" s="404" t="s">
        <v>747</v>
      </c>
    </row>
    <row r="8" spans="1:3" s="316" customFormat="1" ht="16.2" thickBot="1">
      <c r="A8" s="426">
        <v>40</v>
      </c>
      <c r="B8" s="427">
        <v>9</v>
      </c>
      <c r="C8" s="427">
        <v>4.0000000000000001E-3</v>
      </c>
    </row>
    <row r="9" spans="1:3" s="316" customFormat="1" ht="16.2" thickBot="1">
      <c r="A9" s="426">
        <v>40</v>
      </c>
      <c r="B9" s="427">
        <v>10</v>
      </c>
      <c r="C9" s="427">
        <v>5.0000000000000001E-3</v>
      </c>
    </row>
    <row r="10" spans="1:3" s="316" customFormat="1" ht="16.2" thickBot="1">
      <c r="A10" s="431">
        <v>40</v>
      </c>
      <c r="B10" s="432">
        <v>11</v>
      </c>
      <c r="C10" s="432">
        <v>6.0000000000000001E-3</v>
      </c>
    </row>
    <row r="11" spans="1:3" s="316" customFormat="1" ht="16.8" thickTop="1" thickBot="1">
      <c r="A11" s="426">
        <v>49</v>
      </c>
      <c r="B11" s="427">
        <v>1</v>
      </c>
      <c r="C11" s="427">
        <v>3.5000000000000001E-3</v>
      </c>
    </row>
    <row r="12" spans="1:3" s="316" customFormat="1" ht="16.2" thickBot="1">
      <c r="A12" s="426">
        <v>50</v>
      </c>
      <c r="B12" s="427">
        <v>1</v>
      </c>
      <c r="C12" s="427">
        <v>4.4999999999999997E-3</v>
      </c>
    </row>
    <row r="13" spans="1:3" s="316" customFormat="1" ht="16.2" thickBot="1">
      <c r="A13" s="426">
        <v>51</v>
      </c>
      <c r="B13" s="427">
        <v>1</v>
      </c>
      <c r="C13" s="427">
        <v>5.4999999999999997E-3</v>
      </c>
    </row>
    <row r="14" spans="1:3" s="316" customFormat="1" ht="15.6">
      <c r="A14" s="319"/>
    </row>
    <row r="15" spans="1:3" s="316" customFormat="1" ht="15.6">
      <c r="A15" s="319" t="s">
        <v>748</v>
      </c>
    </row>
    <row r="16" spans="1:3" s="316" customFormat="1" ht="15.6">
      <c r="A16" s="319"/>
    </row>
    <row r="17" spans="1:8" s="316" customFormat="1" ht="15.6">
      <c r="A17" s="433" t="s">
        <v>749</v>
      </c>
      <c r="B17" s="409"/>
      <c r="C17" s="409"/>
      <c r="D17" s="409"/>
      <c r="E17" s="409"/>
      <c r="F17" s="412"/>
      <c r="G17" s="434"/>
      <c r="H17" s="435">
        <v>0.08</v>
      </c>
    </row>
    <row r="18" spans="1:8" s="316" customFormat="1" ht="15.6">
      <c r="A18" s="433" t="s">
        <v>750</v>
      </c>
      <c r="B18" s="409"/>
      <c r="C18" s="409"/>
      <c r="D18" s="409"/>
      <c r="E18" s="409"/>
      <c r="F18" s="409"/>
      <c r="G18" s="409"/>
      <c r="H18" s="435">
        <v>0.12</v>
      </c>
    </row>
    <row r="19" spans="1:8" s="316" customFormat="1" ht="15.6">
      <c r="A19" s="433" t="s">
        <v>751</v>
      </c>
      <c r="B19" s="409"/>
      <c r="C19" s="409"/>
      <c r="D19" s="409"/>
      <c r="E19" s="409"/>
      <c r="F19" s="409"/>
      <c r="G19" s="409"/>
      <c r="H19" s="435">
        <v>0.05</v>
      </c>
    </row>
    <row r="20" spans="1:8" s="316" customFormat="1" ht="15.6">
      <c r="A20" s="319"/>
    </row>
    <row r="21" spans="1:8" s="316" customFormat="1" ht="15.6">
      <c r="A21" s="319" t="s">
        <v>752</v>
      </c>
    </row>
    <row r="22" spans="1:8" s="316" customFormat="1" ht="15.6">
      <c r="A22" s="319"/>
    </row>
    <row r="23" spans="1:8" s="316" customFormat="1" ht="15.6">
      <c r="A23" s="398" t="s">
        <v>753</v>
      </c>
    </row>
    <row r="24" spans="1:8" ht="15.6">
      <c r="A24" s="347" t="s">
        <v>22</v>
      </c>
    </row>
    <row r="25" spans="1:8" ht="15.6">
      <c r="A25" s="347"/>
    </row>
    <row r="26" spans="1:8" ht="15.6">
      <c r="A26" s="347"/>
    </row>
    <row r="27" spans="1:8" ht="15.6">
      <c r="A27" s="347"/>
    </row>
    <row r="28" spans="1:8" ht="15.6">
      <c r="A28" s="347"/>
    </row>
    <row r="29" spans="1:8" ht="15.6">
      <c r="A29" s="347"/>
    </row>
    <row r="30" spans="1:8" ht="15.6">
      <c r="A30" s="347"/>
    </row>
    <row r="31" spans="1:8" ht="15.6">
      <c r="A31" s="347"/>
    </row>
    <row r="32" spans="1:8" ht="15.6">
      <c r="A32" s="347"/>
    </row>
    <row r="33" spans="1:1" ht="15.6">
      <c r="A33" s="347"/>
    </row>
    <row r="34" spans="1:1" ht="15.6">
      <c r="A34" s="347"/>
    </row>
    <row r="35" spans="1:1" ht="15.6">
      <c r="A35" s="356"/>
    </row>
    <row r="36" spans="1:1" s="316" customFormat="1" ht="15.6">
      <c r="A36" s="398" t="s">
        <v>754</v>
      </c>
    </row>
    <row r="37" spans="1:1" ht="15.6">
      <c r="A37" s="347" t="s">
        <v>22</v>
      </c>
    </row>
    <row r="38" spans="1:1">
      <c r="A38" s="4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724D9-2D57-47D8-A09D-31786CE9A355}">
  <sheetPr>
    <tabColor theme="8" tint="0.79998168889431442"/>
  </sheetPr>
  <dimension ref="A1:P40"/>
  <sheetViews>
    <sheetView workbookViewId="0">
      <selection activeCell="B14" sqref="B14"/>
    </sheetView>
  </sheetViews>
  <sheetFormatPr defaultColWidth="8.77734375" defaultRowHeight="14.4"/>
  <cols>
    <col min="1" max="1" width="16.33203125" style="40" customWidth="1"/>
    <col min="2" max="2" width="16.6640625" style="40" customWidth="1"/>
    <col min="3" max="16384" width="8.77734375" style="40"/>
  </cols>
  <sheetData>
    <row r="1" spans="1:16" ht="17.399999999999999">
      <c r="A1" s="88" t="s">
        <v>25</v>
      </c>
      <c r="B1" s="89"/>
      <c r="C1" s="89"/>
      <c r="D1" s="89"/>
      <c r="E1" s="89"/>
      <c r="F1" s="89"/>
      <c r="G1" s="89"/>
      <c r="H1" s="89"/>
      <c r="I1" s="89"/>
      <c r="J1" s="89"/>
      <c r="K1" s="89"/>
      <c r="L1" s="89"/>
      <c r="M1" s="89"/>
      <c r="N1" s="89"/>
      <c r="O1" s="89"/>
      <c r="P1" s="89"/>
    </row>
    <row r="2" spans="1:16" s="109" customFormat="1" ht="15.6">
      <c r="A2" s="90" t="s">
        <v>26</v>
      </c>
      <c r="B2" s="108"/>
      <c r="C2" s="108"/>
      <c r="D2" s="108"/>
      <c r="E2" s="108"/>
      <c r="F2" s="108"/>
      <c r="G2" s="108"/>
      <c r="H2" s="108"/>
      <c r="I2" s="108"/>
      <c r="J2" s="108"/>
      <c r="K2" s="108"/>
      <c r="L2" s="108"/>
      <c r="M2" s="108"/>
      <c r="N2" s="108"/>
      <c r="O2" s="108"/>
      <c r="P2" s="108"/>
    </row>
    <row r="3" spans="1:16" s="109" customFormat="1" ht="15.6">
      <c r="A3" s="90" t="s">
        <v>202</v>
      </c>
      <c r="B3" s="108"/>
      <c r="C3" s="108"/>
      <c r="D3" s="108"/>
      <c r="E3" s="108"/>
      <c r="F3" s="108"/>
      <c r="G3" s="108"/>
      <c r="H3" s="108"/>
      <c r="I3" s="108"/>
      <c r="J3" s="108"/>
      <c r="K3" s="108"/>
      <c r="L3" s="108"/>
      <c r="M3" s="108"/>
      <c r="N3" s="108"/>
      <c r="O3" s="108"/>
      <c r="P3" s="108"/>
    </row>
    <row r="4" spans="1:16" ht="15.6">
      <c r="A4" s="90"/>
      <c r="B4" s="89"/>
      <c r="C4" s="89"/>
      <c r="D4" s="89"/>
      <c r="E4" s="89"/>
      <c r="F4" s="89"/>
      <c r="G4" s="89"/>
      <c r="H4" s="89"/>
      <c r="I4" s="89"/>
      <c r="J4" s="89"/>
      <c r="K4" s="89"/>
      <c r="L4" s="89"/>
      <c r="M4" s="89"/>
      <c r="N4" s="89"/>
      <c r="O4" s="89"/>
      <c r="P4" s="89"/>
    </row>
    <row r="5" spans="1:16" ht="15.6">
      <c r="A5" s="99" t="s">
        <v>27</v>
      </c>
      <c r="B5" s="100"/>
      <c r="C5" s="89"/>
      <c r="D5" s="89"/>
      <c r="E5" s="89"/>
      <c r="F5" s="89"/>
      <c r="G5" s="89"/>
      <c r="H5" s="89"/>
      <c r="I5" s="89"/>
      <c r="J5" s="89"/>
      <c r="K5" s="89"/>
      <c r="L5" s="89"/>
      <c r="M5" s="89"/>
      <c r="N5" s="89"/>
      <c r="O5" s="89"/>
      <c r="P5" s="89"/>
    </row>
    <row r="6" spans="1:16" ht="16.2" thickBot="1">
      <c r="A6" s="99"/>
      <c r="B6" s="100"/>
      <c r="C6" s="89"/>
      <c r="D6" s="89"/>
      <c r="E6" s="89"/>
      <c r="F6" s="89"/>
      <c r="G6" s="89"/>
      <c r="H6" s="89"/>
      <c r="I6" s="89"/>
      <c r="J6" s="89"/>
      <c r="K6" s="89"/>
      <c r="L6" s="89"/>
      <c r="M6" s="89"/>
      <c r="N6" s="89"/>
      <c r="O6" s="89"/>
      <c r="P6" s="89"/>
    </row>
    <row r="7" spans="1:16" ht="18.45" customHeight="1" thickBot="1">
      <c r="A7" s="110" t="s">
        <v>28</v>
      </c>
      <c r="B7" s="111">
        <v>15</v>
      </c>
      <c r="C7" s="89"/>
      <c r="D7" s="89"/>
      <c r="E7" s="89"/>
      <c r="F7" s="89"/>
      <c r="G7" s="89"/>
      <c r="H7" s="89"/>
      <c r="I7" s="89"/>
      <c r="J7" s="89"/>
      <c r="K7" s="89"/>
      <c r="L7" s="89"/>
      <c r="M7" s="89"/>
      <c r="N7" s="89"/>
      <c r="O7" s="89"/>
      <c r="P7" s="89"/>
    </row>
    <row r="8" spans="1:16" ht="16.2" thickBot="1">
      <c r="A8" s="112" t="s">
        <v>29</v>
      </c>
      <c r="B8" s="113">
        <v>5</v>
      </c>
      <c r="C8" s="89"/>
      <c r="D8" s="89"/>
      <c r="E8" s="89"/>
      <c r="F8" s="89"/>
      <c r="G8" s="89"/>
      <c r="H8" s="89"/>
      <c r="I8" s="89"/>
      <c r="J8" s="89"/>
      <c r="K8" s="89"/>
      <c r="L8" s="89"/>
      <c r="M8" s="89"/>
      <c r="N8" s="89"/>
      <c r="O8" s="89"/>
      <c r="P8" s="89"/>
    </row>
    <row r="9" spans="1:16" ht="16.2" thickBot="1">
      <c r="A9" s="112" t="s">
        <v>1</v>
      </c>
      <c r="B9" s="113">
        <v>5</v>
      </c>
      <c r="C9" s="89"/>
      <c r="D9" s="89"/>
      <c r="E9" s="89"/>
      <c r="F9" s="89"/>
      <c r="G9" s="89"/>
      <c r="H9" s="89"/>
      <c r="I9" s="89"/>
      <c r="J9" s="89"/>
      <c r="K9" s="89"/>
      <c r="L9" s="89"/>
      <c r="M9" s="89"/>
      <c r="N9" s="89"/>
      <c r="O9" s="89"/>
      <c r="P9" s="89"/>
    </row>
    <row r="10" spans="1:16" ht="16.2" thickBot="1">
      <c r="A10" s="112" t="s">
        <v>30</v>
      </c>
      <c r="B10" s="113">
        <v>15</v>
      </c>
      <c r="C10" s="89"/>
      <c r="D10" s="89"/>
      <c r="E10" s="89"/>
      <c r="F10" s="89"/>
      <c r="G10" s="89"/>
      <c r="H10" s="89"/>
      <c r="I10" s="89"/>
      <c r="J10" s="89"/>
      <c r="K10" s="89"/>
      <c r="L10" s="89"/>
      <c r="M10" s="89"/>
      <c r="N10" s="89"/>
      <c r="O10" s="89"/>
      <c r="P10" s="89"/>
    </row>
    <row r="11" spans="1:16" ht="16.2" thickBot="1">
      <c r="A11" s="112" t="s">
        <v>31</v>
      </c>
      <c r="B11" s="113">
        <v>5</v>
      </c>
      <c r="C11" s="89"/>
      <c r="D11" s="89"/>
      <c r="E11" s="89"/>
      <c r="F11" s="89"/>
      <c r="G11" s="89"/>
      <c r="H11" s="89"/>
      <c r="I11" s="89"/>
      <c r="J11" s="89"/>
      <c r="K11" s="89"/>
      <c r="L11" s="89"/>
      <c r="M11" s="89"/>
      <c r="N11" s="89"/>
      <c r="O11" s="89"/>
      <c r="P11" s="89"/>
    </row>
    <row r="12" spans="1:16" ht="16.2" thickBot="1">
      <c r="A12" s="112" t="s">
        <v>2</v>
      </c>
      <c r="B12" s="113">
        <v>2</v>
      </c>
      <c r="C12" s="89"/>
      <c r="D12" s="89"/>
      <c r="E12" s="89"/>
      <c r="F12" s="89"/>
      <c r="G12" s="89"/>
      <c r="H12" s="89"/>
      <c r="I12" s="89"/>
      <c r="J12" s="89"/>
      <c r="K12" s="89"/>
      <c r="L12" s="89"/>
      <c r="M12" s="89"/>
      <c r="N12" s="89"/>
      <c r="O12" s="89"/>
      <c r="P12" s="89"/>
    </row>
    <row r="13" spans="1:16" ht="18" customHeight="1" thickBot="1">
      <c r="A13" s="112" t="s">
        <v>32</v>
      </c>
      <c r="B13" s="113">
        <v>100</v>
      </c>
      <c r="C13" s="89"/>
      <c r="D13" s="89"/>
      <c r="E13" s="89"/>
      <c r="F13" s="89"/>
      <c r="G13" s="89"/>
      <c r="H13" s="89"/>
      <c r="I13" s="89"/>
      <c r="J13" s="89"/>
      <c r="K13" s="89"/>
      <c r="L13" s="89"/>
      <c r="M13" s="89"/>
      <c r="N13" s="89"/>
      <c r="O13" s="89"/>
      <c r="P13" s="89"/>
    </row>
    <row r="14" spans="1:16" ht="15.6">
      <c r="A14" s="99"/>
      <c r="B14" s="100"/>
      <c r="C14" s="89"/>
      <c r="D14" s="89"/>
      <c r="E14" s="89"/>
      <c r="F14" s="89"/>
      <c r="G14" s="89"/>
      <c r="H14" s="89"/>
      <c r="I14" s="89"/>
      <c r="J14" s="89"/>
      <c r="K14" s="89"/>
      <c r="L14" s="89"/>
      <c r="M14" s="89"/>
      <c r="N14" s="89"/>
      <c r="O14" s="89"/>
      <c r="P14" s="89"/>
    </row>
    <row r="15" spans="1:16" ht="15.6">
      <c r="A15" s="93" t="s">
        <v>33</v>
      </c>
      <c r="B15" s="100"/>
      <c r="C15" s="89"/>
      <c r="D15" s="89"/>
      <c r="E15" s="89"/>
      <c r="F15" s="89"/>
      <c r="G15" s="89"/>
      <c r="H15" s="89"/>
      <c r="I15" s="89"/>
      <c r="J15" s="89"/>
      <c r="K15" s="89"/>
      <c r="L15" s="89"/>
      <c r="M15" s="89"/>
      <c r="N15" s="89"/>
      <c r="O15" s="89"/>
      <c r="P15" s="89"/>
    </row>
    <row r="16" spans="1:16" ht="16.05" customHeight="1">
      <c r="A16" s="100"/>
      <c r="B16" s="100"/>
      <c r="C16" s="89"/>
      <c r="D16" s="89"/>
      <c r="E16" s="89"/>
      <c r="F16" s="89"/>
      <c r="G16" s="89"/>
      <c r="H16" s="89"/>
      <c r="I16" s="89"/>
      <c r="J16" s="89"/>
      <c r="K16" s="89"/>
      <c r="L16" s="89"/>
      <c r="M16" s="89"/>
      <c r="N16" s="89"/>
      <c r="O16" s="89"/>
      <c r="P16" s="89"/>
    </row>
    <row r="17" spans="1:16" ht="15.6">
      <c r="A17" s="99"/>
      <c r="B17" s="100"/>
      <c r="C17" s="89"/>
      <c r="D17" s="89"/>
      <c r="E17" s="89"/>
      <c r="F17" s="89"/>
      <c r="G17" s="89"/>
      <c r="H17" s="89"/>
      <c r="I17" s="89"/>
      <c r="J17" s="89"/>
      <c r="K17" s="89"/>
      <c r="L17" s="89"/>
      <c r="M17" s="89"/>
      <c r="N17" s="89"/>
      <c r="O17" s="89"/>
      <c r="P17" s="89"/>
    </row>
    <row r="18" spans="1:16" ht="15.6">
      <c r="A18" s="99" t="s">
        <v>203</v>
      </c>
      <c r="B18" s="100"/>
      <c r="C18" s="89"/>
      <c r="D18" s="89"/>
      <c r="E18" s="89"/>
      <c r="F18" s="89"/>
      <c r="G18" s="89"/>
      <c r="H18" s="89"/>
      <c r="I18" s="89"/>
      <c r="J18" s="89"/>
      <c r="K18" s="89"/>
      <c r="L18" s="89"/>
      <c r="M18" s="89"/>
      <c r="N18" s="89"/>
      <c r="O18" s="89"/>
      <c r="P18" s="89"/>
    </row>
    <row r="19" spans="1:16" ht="15.6">
      <c r="A19" s="99" t="s">
        <v>34</v>
      </c>
      <c r="B19" s="100"/>
      <c r="C19" s="89"/>
      <c r="D19" s="89"/>
      <c r="E19" s="89"/>
      <c r="F19" s="89"/>
      <c r="G19" s="89"/>
      <c r="H19" s="89"/>
      <c r="I19" s="89"/>
      <c r="J19" s="89"/>
      <c r="K19" s="89"/>
      <c r="L19" s="89"/>
      <c r="M19" s="89"/>
      <c r="N19" s="89"/>
      <c r="O19" s="89"/>
      <c r="P19" s="89"/>
    </row>
    <row r="20" spans="1:16" ht="15.6">
      <c r="A20" s="58" t="s">
        <v>22</v>
      </c>
    </row>
    <row r="32" spans="1:16" ht="15.6">
      <c r="A32" s="99" t="s">
        <v>204</v>
      </c>
      <c r="B32" s="100"/>
      <c r="C32" s="100"/>
      <c r="D32" s="100"/>
      <c r="E32" s="89"/>
      <c r="F32" s="89"/>
      <c r="G32" s="89"/>
      <c r="H32" s="89"/>
      <c r="I32" s="89"/>
      <c r="J32" s="89"/>
      <c r="K32" s="89"/>
      <c r="L32" s="89"/>
      <c r="M32" s="89"/>
      <c r="N32" s="89"/>
      <c r="O32" s="89"/>
      <c r="P32" s="89"/>
    </row>
    <row r="33" spans="1:16" ht="15.6">
      <c r="A33" s="93"/>
      <c r="B33" s="108" t="s">
        <v>35</v>
      </c>
      <c r="C33" s="100"/>
      <c r="D33" s="100"/>
      <c r="E33" s="89"/>
      <c r="F33" s="89"/>
      <c r="G33" s="89"/>
      <c r="H33" s="89"/>
      <c r="I33" s="89"/>
      <c r="J33" s="89"/>
      <c r="K33" s="89"/>
      <c r="L33" s="89"/>
      <c r="M33" s="89"/>
      <c r="N33" s="89"/>
      <c r="O33" s="89"/>
      <c r="P33" s="89"/>
    </row>
    <row r="34" spans="1:16" ht="16.2" thickBot="1">
      <c r="A34" s="93"/>
      <c r="B34" s="108"/>
      <c r="C34" s="100"/>
      <c r="D34" s="100"/>
      <c r="E34" s="89"/>
      <c r="F34" s="89"/>
      <c r="G34" s="89"/>
      <c r="H34" s="89"/>
      <c r="I34" s="89"/>
      <c r="J34" s="89"/>
      <c r="K34" s="89"/>
      <c r="L34" s="89"/>
      <c r="M34" s="89"/>
      <c r="N34" s="89"/>
      <c r="O34" s="89"/>
      <c r="P34" s="89"/>
    </row>
    <row r="35" spans="1:16" ht="16.2" thickBot="1">
      <c r="A35" s="110"/>
      <c r="B35" s="102" t="s">
        <v>36</v>
      </c>
      <c r="C35" s="102" t="s">
        <v>37</v>
      </c>
      <c r="D35" s="102" t="s">
        <v>38</v>
      </c>
      <c r="E35" s="89"/>
      <c r="F35" s="89"/>
      <c r="G35" s="89"/>
      <c r="H35" s="89"/>
      <c r="I35" s="89"/>
      <c r="J35" s="89"/>
      <c r="K35" s="89"/>
      <c r="L35" s="89"/>
      <c r="M35" s="89"/>
      <c r="N35" s="89"/>
      <c r="O35" s="89"/>
      <c r="P35" s="89"/>
    </row>
    <row r="36" spans="1:16" ht="31.8" thickBot="1">
      <c r="A36" s="112" t="s">
        <v>39</v>
      </c>
      <c r="B36" s="98">
        <v>1</v>
      </c>
      <c r="C36" s="98">
        <v>-2</v>
      </c>
      <c r="D36" s="98">
        <v>-1</v>
      </c>
      <c r="E36" s="89"/>
      <c r="F36" s="89"/>
      <c r="G36" s="89"/>
      <c r="H36" s="89"/>
      <c r="I36" s="89"/>
      <c r="J36" s="89"/>
      <c r="K36" s="89"/>
      <c r="L36" s="89"/>
      <c r="M36" s="89"/>
      <c r="N36" s="89"/>
      <c r="O36" s="89"/>
      <c r="P36" s="89"/>
    </row>
    <row r="37" spans="1:16" ht="47.4" thickBot="1">
      <c r="A37" s="112" t="s">
        <v>40</v>
      </c>
      <c r="B37" s="98">
        <v>-2</v>
      </c>
      <c r="C37" s="98">
        <v>1</v>
      </c>
      <c r="D37" s="98">
        <v>-1</v>
      </c>
      <c r="E37" s="89"/>
      <c r="F37" s="89"/>
      <c r="G37" s="89"/>
      <c r="H37" s="89"/>
      <c r="I37" s="89"/>
      <c r="J37" s="89"/>
      <c r="K37" s="89"/>
      <c r="L37" s="89"/>
      <c r="M37" s="89"/>
      <c r="N37" s="89"/>
      <c r="O37" s="89"/>
      <c r="P37" s="89"/>
    </row>
    <row r="38" spans="1:16" ht="15.6">
      <c r="A38" s="93"/>
      <c r="B38" s="100"/>
      <c r="C38" s="100"/>
      <c r="D38" s="100"/>
      <c r="E38" s="89"/>
      <c r="F38" s="89"/>
      <c r="G38" s="89"/>
      <c r="H38" s="89"/>
      <c r="I38" s="89"/>
      <c r="J38" s="89"/>
      <c r="K38" s="89"/>
      <c r="L38" s="89"/>
      <c r="M38" s="89"/>
      <c r="N38" s="89"/>
      <c r="O38" s="89"/>
      <c r="P38" s="89"/>
    </row>
    <row r="39" spans="1:16" ht="15.6">
      <c r="A39" s="99" t="s">
        <v>205</v>
      </c>
      <c r="B39" s="114"/>
      <c r="C39" s="100"/>
      <c r="D39" s="100"/>
      <c r="E39" s="89"/>
      <c r="F39" s="89"/>
      <c r="G39" s="89"/>
      <c r="H39" s="89"/>
      <c r="I39" s="89"/>
      <c r="J39" s="89"/>
      <c r="K39" s="89"/>
      <c r="L39" s="89"/>
      <c r="M39" s="89"/>
      <c r="N39" s="89"/>
      <c r="O39" s="89"/>
      <c r="P39" s="89"/>
    </row>
    <row r="40" spans="1:16" ht="15.6">
      <c r="A40" s="58" t="s">
        <v>22</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5F0E1-F29D-4B31-9C00-0E8EB5065431}">
  <sheetPr>
    <tabColor theme="2" tint="-9.9978637043366805E-2"/>
  </sheetPr>
  <dimension ref="A1:G23"/>
  <sheetViews>
    <sheetView workbookViewId="0">
      <selection activeCell="B19" sqref="B19"/>
    </sheetView>
  </sheetViews>
  <sheetFormatPr defaultColWidth="8.77734375" defaultRowHeight="14.4"/>
  <cols>
    <col min="1" max="1" width="35.5546875" style="328" customWidth="1"/>
    <col min="2" max="16384" width="8.77734375" style="328"/>
  </cols>
  <sheetData>
    <row r="1" spans="1:7" s="316" customFormat="1" ht="17.399999999999999">
      <c r="A1" s="315" t="s">
        <v>755</v>
      </c>
    </row>
    <row r="2" spans="1:7" s="316" customFormat="1" ht="15.6">
      <c r="A2" s="317" t="s">
        <v>109</v>
      </c>
    </row>
    <row r="3" spans="1:7" s="316" customFormat="1" ht="15.6">
      <c r="A3" s="317" t="s">
        <v>107</v>
      </c>
    </row>
    <row r="4" spans="1:7" s="316" customFormat="1"/>
    <row r="5" spans="1:7" s="316" customFormat="1" ht="15.6">
      <c r="A5" s="398" t="s">
        <v>756</v>
      </c>
    </row>
    <row r="6" spans="1:7" s="316" customFormat="1" ht="15.6">
      <c r="A6" s="319" t="s">
        <v>757</v>
      </c>
    </row>
    <row r="7" spans="1:7" s="316" customFormat="1" ht="15.6">
      <c r="A7" s="319"/>
    </row>
    <row r="8" spans="1:7" s="316" customFormat="1" ht="15.6">
      <c r="A8" s="437" t="s">
        <v>758</v>
      </c>
      <c r="B8" s="438">
        <v>0</v>
      </c>
      <c r="C8" s="438">
        <v>1</v>
      </c>
      <c r="D8" s="438">
        <v>2</v>
      </c>
      <c r="E8" s="438">
        <v>3</v>
      </c>
      <c r="F8" s="438">
        <v>4</v>
      </c>
      <c r="G8" s="438">
        <v>5</v>
      </c>
    </row>
    <row r="9" spans="1:7" s="316" customFormat="1" ht="15.6">
      <c r="A9" s="423" t="s">
        <v>759</v>
      </c>
      <c r="B9" s="439"/>
      <c r="C9" s="440">
        <v>1000</v>
      </c>
      <c r="D9" s="440">
        <v>1000</v>
      </c>
      <c r="E9" s="440">
        <v>1000</v>
      </c>
      <c r="F9" s="440">
        <v>1000</v>
      </c>
      <c r="G9" s="440">
        <v>1000</v>
      </c>
    </row>
    <row r="10" spans="1:7" s="316" customFormat="1" ht="15.6">
      <c r="A10" s="423" t="s">
        <v>760</v>
      </c>
      <c r="B10" s="439"/>
      <c r="C10" s="422">
        <v>25</v>
      </c>
      <c r="D10" s="422">
        <v>25</v>
      </c>
      <c r="E10" s="422">
        <v>25</v>
      </c>
      <c r="F10" s="422">
        <v>25</v>
      </c>
      <c r="G10" s="422">
        <v>25</v>
      </c>
    </row>
    <row r="11" spans="1:7" s="316" customFormat="1" ht="15.6">
      <c r="A11" s="423" t="s">
        <v>761</v>
      </c>
      <c r="B11" s="439"/>
      <c r="C11" s="422">
        <v>50</v>
      </c>
      <c r="D11" s="422">
        <v>50</v>
      </c>
      <c r="E11" s="422">
        <v>50</v>
      </c>
      <c r="F11" s="422">
        <v>50</v>
      </c>
      <c r="G11" s="422">
        <v>50</v>
      </c>
    </row>
    <row r="12" spans="1:7" s="316" customFormat="1" ht="15.6">
      <c r="A12" s="423" t="s">
        <v>762</v>
      </c>
      <c r="B12" s="440">
        <v>1500</v>
      </c>
      <c r="C12" s="440">
        <v>1000</v>
      </c>
      <c r="D12" s="422">
        <v>800</v>
      </c>
      <c r="E12" s="422">
        <v>600</v>
      </c>
      <c r="F12" s="422">
        <v>300</v>
      </c>
      <c r="G12" s="422">
        <v>0</v>
      </c>
    </row>
    <row r="13" spans="1:7" s="316" customFormat="1" ht="15.6">
      <c r="A13" s="319"/>
    </row>
    <row r="14" spans="1:7" s="316" customFormat="1" ht="15.6">
      <c r="A14" s="319" t="s">
        <v>763</v>
      </c>
    </row>
    <row r="15" spans="1:7" s="316" customFormat="1" ht="15.6">
      <c r="A15" s="319"/>
    </row>
    <row r="16" spans="1:7" s="316" customFormat="1" ht="15.6">
      <c r="A16" s="441" t="s">
        <v>764</v>
      </c>
      <c r="B16" s="435">
        <v>0.05</v>
      </c>
    </row>
    <row r="17" spans="1:2" s="316" customFormat="1" ht="15.6">
      <c r="A17" s="441" t="s">
        <v>765</v>
      </c>
      <c r="B17" s="435">
        <v>0.1</v>
      </c>
    </row>
    <row r="18" spans="1:2" s="316" customFormat="1" ht="15.6">
      <c r="A18" s="441" t="s">
        <v>766</v>
      </c>
      <c r="B18" s="435">
        <v>0.04</v>
      </c>
    </row>
    <row r="19" spans="1:2" s="316" customFormat="1" ht="15.6">
      <c r="A19" s="441" t="s">
        <v>767</v>
      </c>
      <c r="B19" s="435">
        <v>0.25</v>
      </c>
    </row>
    <row r="20" spans="1:2" s="316" customFormat="1" ht="15.6">
      <c r="A20" s="441" t="s">
        <v>768</v>
      </c>
      <c r="B20" s="435">
        <v>0</v>
      </c>
    </row>
    <row r="21" spans="1:2" s="316" customFormat="1" ht="15.6">
      <c r="A21" s="442"/>
    </row>
    <row r="22" spans="1:2" s="316" customFormat="1" ht="15.6">
      <c r="A22" s="319" t="s">
        <v>769</v>
      </c>
    </row>
    <row r="23" spans="1:2" ht="15.6">
      <c r="A23" s="347" t="s">
        <v>22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06696-B0B4-4A35-BE04-68C26308397F}">
  <sheetPr>
    <tabColor rgb="FFFDF1D9"/>
  </sheetPr>
  <dimension ref="A1:F52"/>
  <sheetViews>
    <sheetView workbookViewId="0">
      <selection activeCell="I5" sqref="I5"/>
    </sheetView>
  </sheetViews>
  <sheetFormatPr defaultColWidth="8.77734375" defaultRowHeight="14.4"/>
  <cols>
    <col min="1" max="1" width="33.44140625" style="328" customWidth="1"/>
    <col min="2" max="2" width="25.5546875" style="328" customWidth="1"/>
    <col min="3" max="3" width="12" style="328" customWidth="1"/>
    <col min="4" max="4" width="10.109375" style="328" customWidth="1"/>
    <col min="5" max="5" width="12.33203125" style="328" customWidth="1"/>
    <col min="6" max="6" width="11.88671875" style="328" customWidth="1"/>
    <col min="7" max="7" width="13.44140625" style="328" customWidth="1"/>
    <col min="8" max="8" width="12.44140625" style="328" customWidth="1"/>
    <col min="9" max="16384" width="8.77734375" style="328"/>
  </cols>
  <sheetData>
    <row r="1" spans="1:5" s="316" customFormat="1" ht="17.399999999999999">
      <c r="A1" s="315" t="s">
        <v>807</v>
      </c>
    </row>
    <row r="2" spans="1:5" s="316" customFormat="1" ht="15.6">
      <c r="A2" s="317" t="s">
        <v>542</v>
      </c>
    </row>
    <row r="3" spans="1:5" s="316" customFormat="1" ht="15.6">
      <c r="A3" s="317" t="s">
        <v>702</v>
      </c>
    </row>
    <row r="4" spans="1:5" s="316" customFormat="1"/>
    <row r="5" spans="1:5" s="316" customFormat="1" ht="15.6">
      <c r="A5" s="319" t="s">
        <v>808</v>
      </c>
    </row>
    <row r="6" spans="1:5" s="316" customFormat="1" ht="15.6">
      <c r="A6" s="319"/>
    </row>
    <row r="7" spans="1:5" s="316" customFormat="1" ht="15.6">
      <c r="A7" s="416" t="s">
        <v>809</v>
      </c>
    </row>
    <row r="8" spans="1:5" s="316" customFormat="1" ht="15.6">
      <c r="A8" s="416" t="s">
        <v>810</v>
      </c>
    </row>
    <row r="9" spans="1:5" s="316" customFormat="1"/>
    <row r="10" spans="1:5" s="316" customFormat="1" ht="15.6">
      <c r="A10" s="482" t="s">
        <v>811</v>
      </c>
      <c r="B10" s="482"/>
      <c r="C10" s="482"/>
      <c r="D10" s="482"/>
      <c r="E10" s="482"/>
    </row>
    <row r="11" spans="1:5" s="316" customFormat="1" ht="15.6">
      <c r="A11" s="483"/>
      <c r="B11" s="484" t="s">
        <v>812</v>
      </c>
      <c r="C11" s="484" t="s">
        <v>813</v>
      </c>
      <c r="D11" s="484" t="s">
        <v>814</v>
      </c>
      <c r="E11" s="485" t="s">
        <v>815</v>
      </c>
    </row>
    <row r="12" spans="1:5" s="316" customFormat="1" ht="15.6">
      <c r="A12" s="486" t="s">
        <v>812</v>
      </c>
      <c r="B12" s="487">
        <v>1</v>
      </c>
      <c r="C12" s="487"/>
      <c r="D12" s="487"/>
      <c r="E12" s="488"/>
    </row>
    <row r="13" spans="1:5" s="316" customFormat="1" ht="15.6">
      <c r="A13" s="486" t="s">
        <v>813</v>
      </c>
      <c r="B13" s="487">
        <v>0.25</v>
      </c>
      <c r="C13" s="487">
        <v>1</v>
      </c>
      <c r="D13" s="487"/>
      <c r="E13" s="488"/>
    </row>
    <row r="14" spans="1:5" s="316" customFormat="1" ht="15.6">
      <c r="A14" s="486" t="s">
        <v>814</v>
      </c>
      <c r="B14" s="487">
        <v>0.5</v>
      </c>
      <c r="C14" s="487">
        <v>0.2</v>
      </c>
      <c r="D14" s="487">
        <v>1</v>
      </c>
      <c r="E14" s="488"/>
    </row>
    <row r="15" spans="1:5" s="316" customFormat="1" ht="15.6">
      <c r="A15" s="489" t="s">
        <v>815</v>
      </c>
      <c r="B15" s="490">
        <v>0</v>
      </c>
      <c r="C15" s="490">
        <v>0</v>
      </c>
      <c r="D15" s="490">
        <v>0</v>
      </c>
      <c r="E15" s="491">
        <v>1</v>
      </c>
    </row>
    <row r="16" spans="1:5" s="316" customFormat="1"/>
    <row r="17" spans="1:6" s="316" customFormat="1" ht="93.6">
      <c r="A17" s="492" t="s">
        <v>816</v>
      </c>
      <c r="B17" s="493" t="s">
        <v>817</v>
      </c>
      <c r="C17" s="493" t="s">
        <v>818</v>
      </c>
      <c r="D17" s="494" t="s">
        <v>819</v>
      </c>
    </row>
    <row r="18" spans="1:6" s="316" customFormat="1" ht="15.6">
      <c r="A18" s="495" t="s">
        <v>820</v>
      </c>
      <c r="B18" s="496">
        <v>0.3</v>
      </c>
      <c r="C18" s="497">
        <v>2000</v>
      </c>
      <c r="D18" s="498">
        <v>250</v>
      </c>
    </row>
    <row r="19" spans="1:6" s="316" customFormat="1" ht="15.6">
      <c r="A19" s="486" t="s">
        <v>821</v>
      </c>
      <c r="B19" s="499">
        <v>0.4</v>
      </c>
      <c r="C19" s="500">
        <v>1000</v>
      </c>
      <c r="D19" s="501">
        <v>200</v>
      </c>
    </row>
    <row r="20" spans="1:6" s="316" customFormat="1" ht="15.6">
      <c r="A20" s="486" t="s">
        <v>822</v>
      </c>
      <c r="B20" s="499">
        <v>0.25</v>
      </c>
      <c r="C20" s="500">
        <v>3000</v>
      </c>
      <c r="D20" s="501">
        <v>500</v>
      </c>
    </row>
    <row r="21" spans="1:6" s="316" customFormat="1" ht="15.6">
      <c r="A21" s="486" t="s">
        <v>823</v>
      </c>
      <c r="B21" s="499">
        <v>0.2</v>
      </c>
      <c r="C21" s="500">
        <v>8000</v>
      </c>
      <c r="D21" s="501">
        <v>500</v>
      </c>
    </row>
    <row r="22" spans="1:6" s="316" customFormat="1" ht="15.6">
      <c r="A22" s="486" t="s">
        <v>824</v>
      </c>
      <c r="B22" s="502">
        <v>0.222</v>
      </c>
      <c r="C22" s="500">
        <v>6000</v>
      </c>
      <c r="D22" s="501">
        <v>950</v>
      </c>
    </row>
    <row r="23" spans="1:6" s="316" customFormat="1" ht="15.6">
      <c r="A23" s="486" t="s">
        <v>825</v>
      </c>
      <c r="B23" s="502">
        <v>0.16200000000000001</v>
      </c>
      <c r="C23" s="500">
        <v>11000</v>
      </c>
      <c r="D23" s="501">
        <v>950</v>
      </c>
    </row>
    <row r="24" spans="1:6" s="316" customFormat="1" ht="15.6">
      <c r="A24" s="486" t="s">
        <v>826</v>
      </c>
      <c r="B24" s="502">
        <v>0.152</v>
      </c>
      <c r="C24" s="500">
        <v>13000</v>
      </c>
      <c r="D24" s="501">
        <v>1250</v>
      </c>
    </row>
    <row r="25" spans="1:6" s="316" customFormat="1" ht="15.6">
      <c r="A25" s="486" t="s">
        <v>827</v>
      </c>
      <c r="B25" s="502">
        <v>0.153</v>
      </c>
      <c r="C25" s="500">
        <v>12000</v>
      </c>
      <c r="D25" s="501">
        <v>1200</v>
      </c>
      <c r="F25" s="503"/>
    </row>
    <row r="26" spans="1:6" s="316" customFormat="1" ht="15.6">
      <c r="A26" s="489" t="s">
        <v>828</v>
      </c>
      <c r="B26" s="504">
        <v>0.14799999999999999</v>
      </c>
      <c r="C26" s="505">
        <v>14000</v>
      </c>
      <c r="D26" s="506">
        <v>1450</v>
      </c>
    </row>
    <row r="27" spans="1:6" s="316" customFormat="1"/>
    <row r="28" spans="1:6" s="316" customFormat="1" ht="15.6">
      <c r="A28" s="319" t="s">
        <v>829</v>
      </c>
    </row>
    <row r="29" spans="1:6" ht="15.6">
      <c r="A29" s="356" t="s">
        <v>22</v>
      </c>
    </row>
    <row r="30" spans="1:6" ht="15.6">
      <c r="A30" s="356"/>
    </row>
    <row r="31" spans="1:6" ht="15.6">
      <c r="A31" s="356"/>
    </row>
    <row r="32" spans="1:6" ht="15.6">
      <c r="A32" s="356"/>
    </row>
    <row r="33" spans="1:1" ht="15.6">
      <c r="A33" s="356"/>
    </row>
    <row r="34" spans="1:1" ht="15.6">
      <c r="A34" s="356"/>
    </row>
    <row r="35" spans="1:1" ht="15.6">
      <c r="A35" s="356"/>
    </row>
    <row r="36" spans="1:1" ht="15.6">
      <c r="A36" s="356"/>
    </row>
    <row r="37" spans="1:1" ht="15.6">
      <c r="A37" s="356"/>
    </row>
    <row r="38" spans="1:1" ht="15.6">
      <c r="A38" s="356"/>
    </row>
    <row r="39" spans="1:1" ht="15.6">
      <c r="A39" s="356"/>
    </row>
    <row r="40" spans="1:1" ht="15.6">
      <c r="A40" s="356"/>
    </row>
    <row r="41" spans="1:1" ht="15.6">
      <c r="A41" s="356"/>
    </row>
    <row r="42" spans="1:1" ht="15.6">
      <c r="A42" s="356"/>
    </row>
    <row r="43" spans="1:1" ht="15.6">
      <c r="A43" s="356"/>
    </row>
    <row r="44" spans="1:1" ht="15.6">
      <c r="A44" s="356"/>
    </row>
    <row r="45" spans="1:1" ht="15.6">
      <c r="A45" s="356"/>
    </row>
    <row r="46" spans="1:1" ht="15.6">
      <c r="A46" s="356"/>
    </row>
    <row r="47" spans="1:1" ht="15.6">
      <c r="A47" s="356"/>
    </row>
    <row r="48" spans="1:1" ht="15.6">
      <c r="A48" s="356"/>
    </row>
    <row r="49" spans="1:1" ht="15.6">
      <c r="A49" s="420"/>
    </row>
    <row r="50" spans="1:1" ht="15.6">
      <c r="A50" s="420"/>
    </row>
    <row r="51" spans="1:1" s="316" customFormat="1" ht="15.6">
      <c r="A51" s="319" t="s">
        <v>830</v>
      </c>
    </row>
    <row r="52" spans="1:1" ht="15.6">
      <c r="A52" s="356" t="s">
        <v>22</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C44F-B747-4573-9DCD-0E84B96A4C62}">
  <sheetPr>
    <tabColor rgb="FFFDF1D9"/>
  </sheetPr>
  <dimension ref="A1:I46"/>
  <sheetViews>
    <sheetView workbookViewId="0">
      <selection activeCell="H32" sqref="H32"/>
    </sheetView>
  </sheetViews>
  <sheetFormatPr defaultColWidth="8.77734375" defaultRowHeight="14.4"/>
  <cols>
    <col min="1" max="1" width="29.109375" style="328" customWidth="1"/>
    <col min="2" max="2" width="16.44140625" style="328" customWidth="1"/>
    <col min="3" max="3" width="10.109375" style="328" customWidth="1"/>
    <col min="4" max="16384" width="8.77734375" style="328"/>
  </cols>
  <sheetData>
    <row r="1" spans="1:9" s="316" customFormat="1" ht="17.399999999999999">
      <c r="A1" s="315" t="s">
        <v>831</v>
      </c>
    </row>
    <row r="2" spans="1:9" s="316" customFormat="1" ht="15.6">
      <c r="A2" s="317" t="s">
        <v>718</v>
      </c>
    </row>
    <row r="3" spans="1:9" s="316" customFormat="1" ht="15.6">
      <c r="A3" s="317" t="s">
        <v>832</v>
      </c>
    </row>
    <row r="4" spans="1:9" s="507" customFormat="1"/>
    <row r="5" spans="1:9" s="507" customFormat="1" ht="15.6">
      <c r="A5" s="732" t="s">
        <v>1211</v>
      </c>
      <c r="B5" s="733"/>
      <c r="C5" s="733"/>
      <c r="D5" s="733"/>
      <c r="E5" s="733"/>
      <c r="F5" s="733"/>
      <c r="G5" s="733"/>
      <c r="H5" s="733"/>
      <c r="I5" s="733"/>
    </row>
    <row r="6" spans="1:9" s="507" customFormat="1" ht="16.2" thickBot="1">
      <c r="A6" s="734"/>
      <c r="B6" s="733"/>
      <c r="C6" s="733"/>
      <c r="D6" s="733"/>
      <c r="E6" s="733"/>
      <c r="F6" s="733"/>
      <c r="G6" s="733"/>
      <c r="H6" s="733"/>
      <c r="I6" s="733"/>
    </row>
    <row r="7" spans="1:9" s="507" customFormat="1" ht="29.4" thickBot="1">
      <c r="A7" s="735" t="s">
        <v>833</v>
      </c>
      <c r="B7" s="736" t="s">
        <v>834</v>
      </c>
      <c r="C7" s="736" t="s">
        <v>835</v>
      </c>
      <c r="D7" s="733"/>
      <c r="E7" s="733"/>
      <c r="F7" s="733"/>
      <c r="G7" s="733"/>
      <c r="H7" s="733"/>
      <c r="I7" s="733"/>
    </row>
    <row r="8" spans="1:9" s="507" customFormat="1" ht="15" thickBot="1">
      <c r="A8" s="737">
        <v>9700</v>
      </c>
      <c r="B8" s="738">
        <v>1000</v>
      </c>
      <c r="C8" s="739">
        <v>200</v>
      </c>
      <c r="D8" s="733"/>
      <c r="E8" s="733"/>
      <c r="F8" s="733"/>
      <c r="G8" s="733"/>
      <c r="H8" s="733"/>
      <c r="I8" s="733"/>
    </row>
    <row r="9" spans="1:9" s="507" customFormat="1" ht="15.6">
      <c r="A9" s="732"/>
      <c r="B9" s="733"/>
      <c r="C9" s="733"/>
      <c r="D9" s="733"/>
      <c r="E9" s="733"/>
      <c r="F9" s="733"/>
      <c r="G9" s="733"/>
      <c r="H9" s="733"/>
      <c r="I9" s="733"/>
    </row>
    <row r="10" spans="1:9" s="507" customFormat="1" ht="15.6">
      <c r="A10" s="732" t="s">
        <v>836</v>
      </c>
      <c r="B10" s="733"/>
      <c r="C10" s="733"/>
      <c r="D10" s="733"/>
      <c r="E10" s="733"/>
      <c r="F10" s="733"/>
      <c r="G10" s="733"/>
      <c r="H10" s="733"/>
      <c r="I10" s="733"/>
    </row>
    <row r="11" spans="1:9" ht="15.6">
      <c r="A11" s="740" t="s">
        <v>22</v>
      </c>
      <c r="B11" s="741"/>
      <c r="C11" s="741"/>
      <c r="D11" s="741"/>
      <c r="E11" s="741"/>
      <c r="F11" s="741"/>
      <c r="G11" s="741"/>
      <c r="H11" s="741"/>
      <c r="I11" s="741"/>
    </row>
    <row r="21" spans="1:8" s="507" customFormat="1" ht="15.6">
      <c r="A21" s="732" t="s">
        <v>1212</v>
      </c>
      <c r="B21" s="733"/>
      <c r="C21" s="733"/>
      <c r="D21" s="733"/>
      <c r="E21" s="733"/>
      <c r="F21" s="733"/>
      <c r="G21" s="733"/>
      <c r="H21" s="733"/>
    </row>
    <row r="22" spans="1:8" s="507" customFormat="1" ht="15.6">
      <c r="A22" s="734"/>
      <c r="B22" s="733"/>
      <c r="C22" s="733"/>
      <c r="D22" s="733"/>
      <c r="E22" s="733"/>
      <c r="F22" s="733"/>
      <c r="G22" s="733"/>
      <c r="H22" s="733"/>
    </row>
    <row r="23" spans="1:8" s="507" customFormat="1" ht="15.6">
      <c r="A23" s="742" t="s">
        <v>1213</v>
      </c>
      <c r="B23" s="743">
        <v>10000</v>
      </c>
      <c r="C23" s="744"/>
      <c r="D23" s="733"/>
      <c r="E23" s="733"/>
      <c r="F23" s="733"/>
      <c r="G23" s="733"/>
      <c r="H23" s="733"/>
    </row>
    <row r="24" spans="1:8" s="507" customFormat="1" ht="15.6">
      <c r="A24" s="742" t="s">
        <v>1214</v>
      </c>
      <c r="B24" s="743">
        <v>200</v>
      </c>
      <c r="C24" s="744"/>
      <c r="D24" s="733"/>
      <c r="E24" s="733"/>
      <c r="F24" s="733"/>
      <c r="G24" s="733"/>
      <c r="H24" s="733"/>
    </row>
    <row r="25" spans="1:8" s="507" customFormat="1" ht="15.6">
      <c r="A25" s="734"/>
      <c r="B25" s="733"/>
      <c r="C25" s="733"/>
      <c r="D25" s="733"/>
      <c r="E25" s="733"/>
      <c r="F25" s="733"/>
      <c r="G25" s="733"/>
      <c r="H25" s="733"/>
    </row>
    <row r="26" spans="1:8" s="507" customFormat="1" ht="15.6">
      <c r="A26" s="734" t="s">
        <v>837</v>
      </c>
      <c r="B26" s="733"/>
      <c r="C26" s="733"/>
      <c r="D26" s="733"/>
      <c r="E26" s="733"/>
      <c r="F26" s="733"/>
      <c r="G26" s="733"/>
      <c r="H26" s="733"/>
    </row>
    <row r="27" spans="1:8" ht="15.6">
      <c r="A27" s="740" t="s">
        <v>22</v>
      </c>
      <c r="B27" s="741"/>
      <c r="C27" s="741"/>
      <c r="D27" s="741"/>
      <c r="E27" s="741"/>
      <c r="F27" s="741"/>
      <c r="G27" s="741"/>
      <c r="H27" s="741"/>
    </row>
    <row r="28" spans="1:8">
      <c r="A28" s="741"/>
      <c r="B28" s="741"/>
      <c r="C28" s="741"/>
      <c r="D28" s="741"/>
      <c r="E28" s="741"/>
      <c r="F28" s="741"/>
      <c r="G28" s="741"/>
      <c r="H28" s="741"/>
    </row>
    <row r="35" spans="1:2" s="507" customFormat="1" ht="15.6">
      <c r="A35" s="508" t="s">
        <v>838</v>
      </c>
    </row>
    <row r="36" spans="1:2" s="507" customFormat="1" ht="15" thickBot="1"/>
    <row r="37" spans="1:2" s="507" customFormat="1" ht="16.2" thickBot="1">
      <c r="A37" s="774" t="s">
        <v>839</v>
      </c>
      <c r="B37" s="775"/>
    </row>
    <row r="38" spans="1:2" s="507" customFormat="1" ht="16.2" thickBot="1">
      <c r="A38" s="510">
        <v>44196</v>
      </c>
      <c r="B38" s="511">
        <v>44561</v>
      </c>
    </row>
    <row r="39" spans="1:2" s="507" customFormat="1" ht="16.2" thickBot="1">
      <c r="A39" s="512">
        <v>30000</v>
      </c>
      <c r="B39" s="513">
        <v>25000</v>
      </c>
    </row>
    <row r="40" spans="1:2" s="507" customFormat="1" ht="15.6">
      <c r="A40" s="508"/>
    </row>
    <row r="41" spans="1:2" s="507" customFormat="1" ht="15.6">
      <c r="A41" s="508"/>
    </row>
    <row r="42" spans="1:2" s="507" customFormat="1" ht="46.8">
      <c r="A42" s="514" t="s">
        <v>840</v>
      </c>
      <c r="B42" s="515">
        <v>4.8000000000000001E-2</v>
      </c>
    </row>
    <row r="43" spans="1:2" s="507" customFormat="1" ht="31.2">
      <c r="A43" s="514" t="s">
        <v>841</v>
      </c>
      <c r="B43" s="516">
        <v>100</v>
      </c>
    </row>
    <row r="44" spans="1:2" s="507" customFormat="1" ht="15.6">
      <c r="A44" s="508"/>
    </row>
    <row r="45" spans="1:2" s="507" customFormat="1" ht="15.6">
      <c r="A45" s="508" t="s">
        <v>842</v>
      </c>
    </row>
    <row r="46" spans="1:2" ht="15.6">
      <c r="A46" s="356" t="s">
        <v>22</v>
      </c>
    </row>
  </sheetData>
  <mergeCells count="1">
    <mergeCell ref="A37:B37"/>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A81C4-1AB9-44FC-AD3E-B54BB299836F}">
  <sheetPr>
    <tabColor rgb="FFFDF1D9"/>
  </sheetPr>
  <dimension ref="A1:R54"/>
  <sheetViews>
    <sheetView workbookViewId="0">
      <selection activeCell="I5" sqref="I5"/>
    </sheetView>
  </sheetViews>
  <sheetFormatPr defaultColWidth="8.77734375" defaultRowHeight="14.4"/>
  <cols>
    <col min="1" max="1" width="23.44140625" style="328" customWidth="1"/>
    <col min="2" max="2" width="10.5546875" style="328" customWidth="1"/>
    <col min="3" max="3" width="11.5546875" style="328" customWidth="1"/>
    <col min="4" max="16384" width="8.77734375" style="328"/>
  </cols>
  <sheetData>
    <row r="1" spans="1:18" s="316" customFormat="1" ht="17.399999999999999">
      <c r="A1" s="315" t="s">
        <v>843</v>
      </c>
    </row>
    <row r="2" spans="1:18" s="316" customFormat="1" ht="15.6">
      <c r="A2" s="317" t="s">
        <v>844</v>
      </c>
    </row>
    <row r="3" spans="1:18" s="316" customFormat="1" ht="15.6">
      <c r="A3" s="317" t="s">
        <v>845</v>
      </c>
    </row>
    <row r="4" spans="1:18" s="507" customFormat="1"/>
    <row r="5" spans="1:18" s="507" customFormat="1" ht="15.6">
      <c r="A5" s="508" t="s">
        <v>846</v>
      </c>
    </row>
    <row r="6" spans="1:18" s="507" customFormat="1" ht="15.6">
      <c r="A6" s="517" t="s">
        <v>847</v>
      </c>
    </row>
    <row r="7" spans="1:18" s="507" customFormat="1" ht="15.6">
      <c r="A7" s="517" t="s">
        <v>848</v>
      </c>
    </row>
    <row r="8" spans="1:18" s="507" customFormat="1" ht="15.6">
      <c r="A8" s="517" t="s">
        <v>849</v>
      </c>
    </row>
    <row r="9" spans="1:18" s="507" customFormat="1" ht="15.6" customHeight="1">
      <c r="A9" s="776" t="s">
        <v>850</v>
      </c>
      <c r="B9" s="776"/>
      <c r="C9" s="776"/>
      <c r="D9" s="776"/>
      <c r="E9" s="776"/>
      <c r="F9" s="776"/>
      <c r="G9" s="776"/>
      <c r="H9" s="776"/>
      <c r="I9" s="776"/>
      <c r="J9" s="776"/>
      <c r="K9" s="776"/>
      <c r="L9" s="776"/>
      <c r="M9" s="776"/>
      <c r="N9" s="776"/>
      <c r="O9" s="776"/>
      <c r="P9" s="776"/>
      <c r="Q9" s="776"/>
      <c r="R9" s="776"/>
    </row>
    <row r="10" spans="1:18" s="507" customFormat="1" ht="15.6" customHeight="1">
      <c r="A10" s="776"/>
      <c r="B10" s="776"/>
      <c r="C10" s="776"/>
      <c r="D10" s="776"/>
      <c r="E10" s="776"/>
      <c r="F10" s="776"/>
      <c r="G10" s="776"/>
      <c r="H10" s="776"/>
      <c r="I10" s="776"/>
      <c r="J10" s="776"/>
      <c r="K10" s="776"/>
      <c r="L10" s="776"/>
      <c r="M10" s="776"/>
      <c r="N10" s="776"/>
      <c r="O10" s="776"/>
      <c r="P10" s="776"/>
      <c r="Q10" s="776"/>
      <c r="R10" s="776"/>
    </row>
    <row r="11" spans="1:18" s="507" customFormat="1" ht="15.6">
      <c r="A11" s="508" t="s">
        <v>851</v>
      </c>
    </row>
    <row r="12" spans="1:18" s="507" customFormat="1" ht="15.6">
      <c r="A12" s="508"/>
    </row>
    <row r="13" spans="1:18" s="507" customFormat="1" ht="15.6">
      <c r="A13" s="508" t="s">
        <v>852</v>
      </c>
    </row>
    <row r="14" spans="1:18" s="507" customFormat="1" ht="16.2" thickBot="1">
      <c r="A14" s="508"/>
    </row>
    <row r="15" spans="1:18" s="507" customFormat="1" ht="16.2" thickBot="1">
      <c r="A15" s="518"/>
      <c r="B15" s="519" t="s">
        <v>853</v>
      </c>
      <c r="C15" s="519" t="s">
        <v>854</v>
      </c>
    </row>
    <row r="16" spans="1:18" s="507" customFormat="1" ht="26.4" customHeight="1" thickBot="1">
      <c r="A16" s="520" t="s">
        <v>165</v>
      </c>
      <c r="B16" s="521">
        <v>2500</v>
      </c>
      <c r="C16" s="521">
        <v>2500</v>
      </c>
    </row>
    <row r="17" spans="1:3" s="507" customFormat="1" ht="22.5" customHeight="1" thickBot="1">
      <c r="A17" s="520" t="s">
        <v>167</v>
      </c>
      <c r="B17" s="521">
        <v>1000</v>
      </c>
      <c r="C17" s="521">
        <v>1200</v>
      </c>
    </row>
    <row r="18" spans="1:3" s="507" customFormat="1" ht="41.1" customHeight="1" thickBot="1">
      <c r="A18" s="520" t="s">
        <v>168</v>
      </c>
      <c r="B18" s="522">
        <v>450</v>
      </c>
      <c r="C18" s="522">
        <v>450</v>
      </c>
    </row>
    <row r="19" spans="1:3" s="507" customFormat="1" ht="31.5" customHeight="1" thickBot="1">
      <c r="A19" s="520" t="s">
        <v>855</v>
      </c>
      <c r="B19" s="522">
        <v>50</v>
      </c>
      <c r="C19" s="522">
        <v>50</v>
      </c>
    </row>
    <row r="20" spans="1:3" s="507" customFormat="1" ht="41.1" customHeight="1" thickBot="1">
      <c r="A20" s="520" t="s">
        <v>169</v>
      </c>
      <c r="B20" s="522">
        <v>510</v>
      </c>
      <c r="C20" s="522">
        <v>510</v>
      </c>
    </row>
    <row r="21" spans="1:3" s="507" customFormat="1" ht="34.5" customHeight="1" thickBot="1">
      <c r="A21" s="523" t="s">
        <v>856</v>
      </c>
      <c r="B21" s="524">
        <v>35</v>
      </c>
      <c r="C21" s="524">
        <v>35</v>
      </c>
    </row>
    <row r="22" spans="1:3" s="507" customFormat="1" ht="16.2" thickBot="1">
      <c r="A22" s="518" t="s">
        <v>170</v>
      </c>
      <c r="B22" s="525">
        <v>400</v>
      </c>
      <c r="C22" s="525">
        <v>400</v>
      </c>
    </row>
    <row r="23" spans="1:3" s="507" customFormat="1"/>
    <row r="24" spans="1:3" s="507" customFormat="1" ht="15.6">
      <c r="A24" s="508" t="s">
        <v>857</v>
      </c>
    </row>
    <row r="25" spans="1:3" ht="15.6">
      <c r="A25" s="356" t="s">
        <v>22</v>
      </c>
    </row>
    <row r="34" spans="1:2" s="507" customFormat="1" ht="15.6">
      <c r="A34" s="508" t="s">
        <v>858</v>
      </c>
    </row>
    <row r="35" spans="1:2" s="507" customFormat="1" ht="15.6">
      <c r="A35" s="509" t="s">
        <v>859</v>
      </c>
    </row>
    <row r="36" spans="1:2" s="507" customFormat="1" ht="16.2" thickBot="1">
      <c r="A36" s="509"/>
    </row>
    <row r="37" spans="1:2" s="507" customFormat="1" ht="31.8" thickBot="1">
      <c r="A37" s="518" t="s">
        <v>860</v>
      </c>
      <c r="B37" s="519" t="s">
        <v>861</v>
      </c>
    </row>
    <row r="38" spans="1:2" s="507" customFormat="1" ht="31.8" thickBot="1">
      <c r="A38" s="520" t="s">
        <v>862</v>
      </c>
      <c r="B38" s="526">
        <v>800</v>
      </c>
    </row>
    <row r="39" spans="1:2" s="507" customFormat="1" ht="31.8" thickBot="1">
      <c r="A39" s="520" t="s">
        <v>863</v>
      </c>
      <c r="B39" s="526">
        <v>900</v>
      </c>
    </row>
    <row r="40" spans="1:2" s="507" customFormat="1" ht="16.2" thickBot="1">
      <c r="A40" s="520" t="s">
        <v>864</v>
      </c>
      <c r="B40" s="526">
        <v>20</v>
      </c>
    </row>
    <row r="41" spans="1:2" s="507" customFormat="1" ht="22.8">
      <c r="A41" s="527"/>
    </row>
    <row r="42" spans="1:2" s="507" customFormat="1">
      <c r="A42" s="528"/>
    </row>
    <row r="43" spans="1:2" s="507" customFormat="1" ht="15.6">
      <c r="A43" s="529" t="s">
        <v>865</v>
      </c>
    </row>
    <row r="44" spans="1:2" ht="15.6">
      <c r="A44" s="356" t="s">
        <v>22</v>
      </c>
    </row>
    <row r="45" spans="1:2">
      <c r="A45" s="530"/>
    </row>
    <row r="46" spans="1:2">
      <c r="A46" s="530"/>
    </row>
    <row r="47" spans="1:2">
      <c r="A47" s="530"/>
    </row>
    <row r="48" spans="1:2">
      <c r="A48" s="530"/>
    </row>
    <row r="53" spans="1:1" s="507" customFormat="1" ht="15.6">
      <c r="A53" s="529" t="s">
        <v>866</v>
      </c>
    </row>
    <row r="54" spans="1:1" ht="15.6">
      <c r="A54" s="356" t="s">
        <v>22</v>
      </c>
    </row>
  </sheetData>
  <mergeCells count="1">
    <mergeCell ref="A9:R1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CF63-D8DE-4574-889E-BBF17A85E82E}">
  <sheetPr>
    <tabColor rgb="FFFF0000"/>
  </sheetPr>
  <dimension ref="A1:H27"/>
  <sheetViews>
    <sheetView workbookViewId="0">
      <selection activeCell="I5" sqref="I5"/>
    </sheetView>
  </sheetViews>
  <sheetFormatPr defaultColWidth="8.77734375" defaultRowHeight="14.4"/>
  <cols>
    <col min="1" max="1" width="16.5546875" style="328" customWidth="1"/>
    <col min="2" max="2" width="6.44140625" style="328" customWidth="1"/>
    <col min="3" max="16384" width="8.77734375" style="328"/>
  </cols>
  <sheetData>
    <row r="1" spans="1:8" s="316" customFormat="1" ht="17.399999999999999">
      <c r="A1" s="315" t="s">
        <v>867</v>
      </c>
    </row>
    <row r="2" spans="1:8" s="316" customFormat="1" ht="15.6">
      <c r="A2" s="317" t="s">
        <v>109</v>
      </c>
    </row>
    <row r="3" spans="1:8" s="316" customFormat="1" ht="15.6">
      <c r="A3" s="317" t="s">
        <v>563</v>
      </c>
    </row>
    <row r="4" spans="1:8" s="507" customFormat="1"/>
    <row r="5" spans="1:8" s="507" customFormat="1" ht="15.6">
      <c r="A5" s="508" t="s">
        <v>868</v>
      </c>
    </row>
    <row r="6" spans="1:8" s="507" customFormat="1" ht="16.2" thickBot="1">
      <c r="A6" s="531"/>
    </row>
    <row r="7" spans="1:8" s="507" customFormat="1" ht="16.2" thickBot="1">
      <c r="A7" s="532" t="s">
        <v>104</v>
      </c>
      <c r="B7" s="533"/>
      <c r="C7" s="534"/>
      <c r="D7" s="534">
        <v>1</v>
      </c>
      <c r="E7" s="534">
        <v>2</v>
      </c>
      <c r="F7" s="534">
        <v>3</v>
      </c>
      <c r="G7" s="534">
        <v>4</v>
      </c>
      <c r="H7" s="534">
        <v>5</v>
      </c>
    </row>
    <row r="8" spans="1:8" s="507" customFormat="1" ht="16.2" thickBot="1">
      <c r="A8" s="777" t="s">
        <v>784</v>
      </c>
      <c r="B8" s="778"/>
      <c r="C8" s="779"/>
      <c r="D8" s="535">
        <v>295000</v>
      </c>
      <c r="E8" s="535">
        <v>280191</v>
      </c>
      <c r="F8" s="535">
        <v>266125</v>
      </c>
      <c r="G8" s="535">
        <v>252753</v>
      </c>
      <c r="H8" s="535">
        <v>240052</v>
      </c>
    </row>
    <row r="9" spans="1:8" s="507" customFormat="1" ht="16.2" thickBot="1">
      <c r="A9" s="777" t="s">
        <v>869</v>
      </c>
      <c r="B9" s="778"/>
      <c r="C9" s="779"/>
      <c r="D9" s="535">
        <v>-60000</v>
      </c>
      <c r="E9" s="535">
        <v>-56988</v>
      </c>
      <c r="F9" s="535">
        <v>-67659</v>
      </c>
      <c r="G9" s="535">
        <v>-64259</v>
      </c>
      <c r="H9" s="535">
        <v>-73236</v>
      </c>
    </row>
    <row r="10" spans="1:8" s="507" customFormat="1" ht="16.2" thickBot="1">
      <c r="A10" s="777" t="s">
        <v>870</v>
      </c>
      <c r="B10" s="778"/>
      <c r="C10" s="779"/>
      <c r="D10" s="535">
        <v>-250000</v>
      </c>
      <c r="E10" s="536"/>
      <c r="F10" s="536"/>
      <c r="G10" s="536"/>
      <c r="H10" s="536"/>
    </row>
    <row r="11" spans="1:8" s="507" customFormat="1" ht="16.2" thickBot="1">
      <c r="A11" s="777" t="s">
        <v>871</v>
      </c>
      <c r="B11" s="778"/>
      <c r="C11" s="779"/>
      <c r="D11" s="535">
        <v>-41000</v>
      </c>
      <c r="E11" s="535">
        <v>-47490</v>
      </c>
      <c r="F11" s="535">
        <v>-45106</v>
      </c>
      <c r="G11" s="535">
        <v>-42839</v>
      </c>
      <c r="H11" s="535">
        <v>-40687</v>
      </c>
    </row>
    <row r="12" spans="1:8" s="507" customFormat="1" ht="15.6">
      <c r="A12" s="531"/>
    </row>
    <row r="13" spans="1:8" s="507" customFormat="1" ht="15.6">
      <c r="A13" s="508" t="s">
        <v>872</v>
      </c>
    </row>
    <row r="14" spans="1:8" s="507" customFormat="1" ht="15.6">
      <c r="A14" s="508"/>
    </row>
    <row r="15" spans="1:8" s="507" customFormat="1" ht="15.6">
      <c r="A15" s="537" t="s">
        <v>873</v>
      </c>
    </row>
    <row r="16" spans="1:8" s="507" customFormat="1" ht="15.6">
      <c r="A16" s="537" t="s">
        <v>874</v>
      </c>
    </row>
    <row r="17" spans="1:1" s="507" customFormat="1" ht="15.6">
      <c r="A17" s="537" t="s">
        <v>875</v>
      </c>
    </row>
    <row r="18" spans="1:1" s="507" customFormat="1" ht="15.6">
      <c r="A18" s="537" t="s">
        <v>876</v>
      </c>
    </row>
    <row r="19" spans="1:1" s="507" customFormat="1" ht="15.6">
      <c r="A19" s="537" t="s">
        <v>877</v>
      </c>
    </row>
    <row r="20" spans="1:1" s="507" customFormat="1" ht="15.6">
      <c r="A20" s="537" t="s">
        <v>878</v>
      </c>
    </row>
    <row r="21" spans="1:1" s="507" customFormat="1" ht="15.6">
      <c r="A21" s="537" t="s">
        <v>879</v>
      </c>
    </row>
    <row r="22" spans="1:1" s="507" customFormat="1" ht="15.6">
      <c r="A22" s="537" t="s">
        <v>880</v>
      </c>
    </row>
    <row r="23" spans="1:1" s="507" customFormat="1" ht="15.6">
      <c r="A23" s="537" t="s">
        <v>881</v>
      </c>
    </row>
    <row r="24" spans="1:1" s="507" customFormat="1" ht="15.6">
      <c r="A24" s="538"/>
    </row>
    <row r="25" spans="1:1" s="507" customFormat="1" ht="15.6">
      <c r="A25" s="508" t="s">
        <v>882</v>
      </c>
    </row>
    <row r="26" spans="1:1" ht="15.6">
      <c r="A26" s="356" t="s">
        <v>22</v>
      </c>
    </row>
    <row r="27" spans="1:1">
      <c r="A27" s="530"/>
    </row>
  </sheetData>
  <mergeCells count="4">
    <mergeCell ref="A8:C8"/>
    <mergeCell ref="A9:C9"/>
    <mergeCell ref="A10:C10"/>
    <mergeCell ref="A11:C1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4EEB-8C9B-4248-BB0D-F134FD4FF9CF}">
  <sheetPr>
    <tabColor rgb="FFFF0000"/>
    <pageSetUpPr autoPageBreaks="0"/>
  </sheetPr>
  <dimension ref="A2:Q166"/>
  <sheetViews>
    <sheetView zoomScale="80" zoomScaleNormal="80" workbookViewId="0">
      <selection activeCell="L21" sqref="L21"/>
    </sheetView>
  </sheetViews>
  <sheetFormatPr defaultColWidth="9.109375" defaultRowHeight="14.4"/>
  <cols>
    <col min="1" max="1" width="5.5546875" style="558" customWidth="1"/>
    <col min="2" max="2" width="53.33203125" style="558" customWidth="1"/>
    <col min="3" max="3" width="1.33203125" style="558" customWidth="1"/>
    <col min="4" max="4" width="10.109375" style="558" customWidth="1"/>
    <col min="5" max="9" width="11.88671875" style="558" bestFit="1" customWidth="1"/>
    <col min="10" max="10" width="9.109375" style="558"/>
    <col min="11" max="11" width="9.5546875" style="558" bestFit="1" customWidth="1"/>
    <col min="12" max="15" width="11.44140625" style="558" customWidth="1"/>
    <col min="16" max="16384" width="9.109375" style="558"/>
  </cols>
  <sheetData>
    <row r="2" spans="1:16" ht="15.75" customHeight="1">
      <c r="A2" s="556"/>
      <c r="B2" s="557" t="s">
        <v>910</v>
      </c>
      <c r="G2" s="780" t="s">
        <v>911</v>
      </c>
      <c r="H2" s="780"/>
      <c r="I2" s="780"/>
      <c r="J2" s="780"/>
      <c r="K2" s="780"/>
      <c r="L2" s="780"/>
      <c r="M2" s="780"/>
      <c r="N2" s="780"/>
      <c r="O2" s="780"/>
    </row>
    <row r="3" spans="1:16">
      <c r="G3" s="780"/>
      <c r="H3" s="780"/>
      <c r="I3" s="780"/>
      <c r="J3" s="780"/>
      <c r="K3" s="780"/>
      <c r="L3" s="780"/>
      <c r="M3" s="780"/>
      <c r="N3" s="780"/>
      <c r="O3" s="780"/>
    </row>
    <row r="4" spans="1:16">
      <c r="B4" s="559" t="s">
        <v>170</v>
      </c>
      <c r="C4" s="559"/>
      <c r="D4" s="560">
        <v>0.1</v>
      </c>
      <c r="G4" s="780"/>
      <c r="H4" s="780"/>
      <c r="I4" s="780"/>
      <c r="J4" s="780"/>
      <c r="K4" s="780"/>
      <c r="L4" s="780"/>
      <c r="M4" s="780"/>
      <c r="N4" s="780"/>
      <c r="O4" s="780"/>
    </row>
    <row r="5" spans="1:16">
      <c r="B5" s="559" t="s">
        <v>912</v>
      </c>
      <c r="C5" s="559"/>
      <c r="D5" s="560">
        <v>0.05</v>
      </c>
    </row>
    <row r="6" spans="1:16">
      <c r="B6" s="559" t="s">
        <v>241</v>
      </c>
      <c r="C6" s="559"/>
      <c r="D6" s="560">
        <v>0.06</v>
      </c>
    </row>
    <row r="7" spans="1:16">
      <c r="B7" s="559"/>
      <c r="C7" s="559"/>
      <c r="D7" s="559">
        <v>0</v>
      </c>
      <c r="E7" s="559">
        <v>1</v>
      </c>
      <c r="F7" s="559">
        <f>E7+1</f>
        <v>2</v>
      </c>
      <c r="G7" s="559">
        <f>F7+1</f>
        <v>3</v>
      </c>
      <c r="H7" s="559">
        <f>G7+1</f>
        <v>4</v>
      </c>
      <c r="I7" s="559">
        <f>H7+1</f>
        <v>5</v>
      </c>
      <c r="K7" s="558">
        <v>1</v>
      </c>
      <c r="L7" s="558">
        <f>K7+1</f>
        <v>2</v>
      </c>
      <c r="M7" s="558">
        <f>L7+1</f>
        <v>3</v>
      </c>
      <c r="N7" s="558">
        <f>M7+1</f>
        <v>4</v>
      </c>
      <c r="O7" s="558">
        <f>N7+1</f>
        <v>5</v>
      </c>
    </row>
    <row r="8" spans="1:16">
      <c r="B8" s="559"/>
      <c r="C8" s="559"/>
      <c r="D8" s="559"/>
      <c r="E8" s="559"/>
      <c r="F8" s="559"/>
      <c r="G8" s="559"/>
      <c r="H8" s="559"/>
      <c r="I8" s="559"/>
    </row>
    <row r="9" spans="1:16">
      <c r="B9" s="557" t="s">
        <v>913</v>
      </c>
      <c r="C9" s="559"/>
      <c r="D9" s="559"/>
      <c r="E9" s="559"/>
      <c r="F9" s="559"/>
      <c r="G9" s="559"/>
      <c r="H9" s="559"/>
      <c r="I9" s="559"/>
    </row>
    <row r="10" spans="1:16">
      <c r="A10" s="558" t="s">
        <v>914</v>
      </c>
      <c r="B10" s="561" t="s">
        <v>784</v>
      </c>
      <c r="C10" s="562"/>
      <c r="D10" s="562"/>
      <c r="E10" s="563">
        <v>295000</v>
      </c>
      <c r="F10" s="563">
        <v>280191</v>
      </c>
      <c r="G10" s="563">
        <v>266125</v>
      </c>
      <c r="H10" s="563">
        <v>252753</v>
      </c>
      <c r="I10" s="563">
        <v>240052</v>
      </c>
      <c r="J10" s="564"/>
      <c r="K10" s="564"/>
      <c r="L10" s="564"/>
      <c r="M10" s="564"/>
      <c r="N10" s="564"/>
      <c r="O10" s="564"/>
      <c r="P10" s="565"/>
    </row>
    <row r="11" spans="1:16">
      <c r="B11" s="566" t="s">
        <v>915</v>
      </c>
      <c r="C11" s="559"/>
      <c r="D11" s="559"/>
      <c r="E11" s="567"/>
      <c r="F11" s="567"/>
      <c r="G11" s="567"/>
      <c r="H11" s="567"/>
      <c r="I11" s="567"/>
      <c r="P11" s="568"/>
    </row>
    <row r="12" spans="1:16">
      <c r="B12" s="566" t="s">
        <v>916</v>
      </c>
      <c r="C12" s="559"/>
      <c r="D12" s="559"/>
      <c r="E12" s="567"/>
      <c r="F12" s="567"/>
      <c r="G12" s="567"/>
      <c r="H12" s="567"/>
      <c r="I12" s="567"/>
      <c r="P12" s="568"/>
    </row>
    <row r="13" spans="1:16">
      <c r="A13" s="558" t="s">
        <v>914</v>
      </c>
      <c r="B13" s="566" t="s">
        <v>917</v>
      </c>
      <c r="C13" s="559"/>
      <c r="D13" s="559"/>
      <c r="E13" s="567">
        <v>-250000</v>
      </c>
      <c r="F13" s="567"/>
      <c r="G13" s="567"/>
      <c r="H13" s="567"/>
      <c r="I13" s="567"/>
      <c r="P13" s="568"/>
    </row>
    <row r="14" spans="1:16">
      <c r="A14" s="558" t="s">
        <v>918</v>
      </c>
      <c r="B14" s="566" t="s">
        <v>919</v>
      </c>
      <c r="C14" s="559"/>
      <c r="D14" s="559"/>
      <c r="E14" s="567">
        <v>-41000</v>
      </c>
      <c r="F14" s="567">
        <v>-47490</v>
      </c>
      <c r="G14" s="567">
        <v>-45106</v>
      </c>
      <c r="H14" s="567">
        <v>-42839</v>
      </c>
      <c r="I14" s="567">
        <v>-40687</v>
      </c>
      <c r="P14" s="568"/>
    </row>
    <row r="15" spans="1:16">
      <c r="B15" s="566" t="s">
        <v>920</v>
      </c>
      <c r="C15" s="559"/>
      <c r="D15" s="559"/>
      <c r="E15" s="567"/>
      <c r="F15" s="567"/>
      <c r="G15" s="567"/>
      <c r="H15" s="567"/>
      <c r="I15" s="567"/>
      <c r="P15" s="568"/>
    </row>
    <row r="16" spans="1:16">
      <c r="B16" s="566" t="s">
        <v>921</v>
      </c>
      <c r="C16" s="559"/>
      <c r="D16" s="559"/>
      <c r="E16" s="567"/>
      <c r="F16" s="567"/>
      <c r="G16" s="567"/>
      <c r="H16" s="567"/>
      <c r="I16" s="567"/>
      <c r="P16" s="568"/>
    </row>
    <row r="17" spans="1:16">
      <c r="A17" s="558" t="s">
        <v>918</v>
      </c>
      <c r="B17" s="566" t="s">
        <v>869</v>
      </c>
      <c r="C17" s="559"/>
      <c r="D17" s="559"/>
      <c r="E17" s="569">
        <v>-60000</v>
      </c>
      <c r="F17" s="569">
        <v>-56988</v>
      </c>
      <c r="G17" s="569">
        <v>-67659</v>
      </c>
      <c r="H17" s="569">
        <v>-64259</v>
      </c>
      <c r="I17" s="569">
        <v>-73236</v>
      </c>
      <c r="P17" s="568"/>
    </row>
    <row r="18" spans="1:16">
      <c r="B18" s="570" t="s">
        <v>922</v>
      </c>
      <c r="C18" s="571"/>
      <c r="D18" s="571"/>
      <c r="E18" s="571">
        <f>SUM(E10:E17)</f>
        <v>-56000</v>
      </c>
      <c r="F18" s="571">
        <f>SUM(F10:F17)</f>
        <v>175713</v>
      </c>
      <c r="G18" s="571">
        <f>SUM(G10:G17)</f>
        <v>153360</v>
      </c>
      <c r="H18" s="571">
        <f>SUM(H10:H17)</f>
        <v>145655</v>
      </c>
      <c r="I18" s="571">
        <f>SUM(I10:I17)</f>
        <v>126129</v>
      </c>
      <c r="J18" s="571"/>
      <c r="K18" s="571"/>
      <c r="L18" s="571"/>
      <c r="M18" s="571"/>
      <c r="N18" s="571"/>
      <c r="O18" s="571"/>
      <c r="P18" s="572"/>
    </row>
    <row r="20" spans="1:16">
      <c r="B20" s="573" t="s">
        <v>923</v>
      </c>
    </row>
    <row r="21" spans="1:16">
      <c r="A21" s="558" t="s">
        <v>914</v>
      </c>
      <c r="B21" s="574" t="s">
        <v>784</v>
      </c>
      <c r="C21" s="564"/>
      <c r="D21" s="564"/>
      <c r="E21" s="564">
        <f>E10</f>
        <v>295000</v>
      </c>
      <c r="F21" s="564"/>
      <c r="G21" s="564"/>
      <c r="H21" s="564"/>
      <c r="I21" s="564"/>
      <c r="J21" s="564"/>
      <c r="K21" s="564"/>
      <c r="L21" s="564"/>
      <c r="M21" s="564"/>
      <c r="N21" s="564"/>
      <c r="O21" s="564"/>
      <c r="P21" s="565"/>
    </row>
    <row r="22" spans="1:16">
      <c r="B22" s="575" t="s">
        <v>915</v>
      </c>
      <c r="E22" s="558">
        <f>E11</f>
        <v>0</v>
      </c>
      <c r="P22" s="568"/>
    </row>
    <row r="23" spans="1:16">
      <c r="B23" s="575" t="s">
        <v>916</v>
      </c>
      <c r="E23" s="558">
        <f>E12</f>
        <v>0</v>
      </c>
      <c r="P23" s="568"/>
    </row>
    <row r="24" spans="1:16">
      <c r="A24" s="558" t="s">
        <v>914</v>
      </c>
      <c r="B24" s="575" t="s">
        <v>917</v>
      </c>
      <c r="E24" s="558">
        <f>E13</f>
        <v>-250000</v>
      </c>
      <c r="P24" s="568"/>
    </row>
    <row r="25" spans="1:16">
      <c r="A25" s="558" t="s">
        <v>918</v>
      </c>
      <c r="B25" s="575" t="s">
        <v>919</v>
      </c>
      <c r="E25" s="576">
        <f>E14*0.95</f>
        <v>-38950</v>
      </c>
      <c r="P25" s="568"/>
    </row>
    <row r="26" spans="1:16">
      <c r="B26" s="575" t="s">
        <v>920</v>
      </c>
      <c r="E26" s="558">
        <f>E15</f>
        <v>0</v>
      </c>
      <c r="P26" s="568"/>
    </row>
    <row r="27" spans="1:16">
      <c r="B27" s="575" t="s">
        <v>921</v>
      </c>
      <c r="E27" s="558">
        <f>E16</f>
        <v>0</v>
      </c>
      <c r="P27" s="568"/>
    </row>
    <row r="28" spans="1:16">
      <c r="A28" s="558" t="s">
        <v>918</v>
      </c>
      <c r="B28" s="575" t="s">
        <v>869</v>
      </c>
      <c r="E28" s="576">
        <f>E17*1.1</f>
        <v>-66000</v>
      </c>
      <c r="P28" s="568"/>
    </row>
    <row r="29" spans="1:16">
      <c r="B29" s="570" t="s">
        <v>922</v>
      </c>
      <c r="C29" s="571"/>
      <c r="D29" s="571"/>
      <c r="E29" s="571">
        <f>SUM(E21:E28)</f>
        <v>-59950</v>
      </c>
      <c r="F29" s="571"/>
      <c r="G29" s="571"/>
      <c r="H29" s="571"/>
      <c r="I29" s="571"/>
      <c r="J29" s="571"/>
      <c r="K29" s="571"/>
      <c r="L29" s="571"/>
      <c r="M29" s="571"/>
      <c r="N29" s="571"/>
      <c r="O29" s="571"/>
      <c r="P29" s="572"/>
    </row>
    <row r="31" spans="1:16">
      <c r="B31" s="573" t="s">
        <v>924</v>
      </c>
    </row>
    <row r="32" spans="1:16">
      <c r="A32" s="577"/>
      <c r="B32" s="578" t="s">
        <v>869</v>
      </c>
      <c r="C32" s="579"/>
      <c r="D32" s="579"/>
      <c r="E32" s="579">
        <f>E17*$D$4</f>
        <v>-6000</v>
      </c>
      <c r="F32" s="579">
        <f>F17*$D$4</f>
        <v>-5698.8</v>
      </c>
      <c r="G32" s="579">
        <f>G17*$D$4</f>
        <v>-6765.9000000000005</v>
      </c>
      <c r="H32" s="579">
        <f>H17*$D$4</f>
        <v>-6425.9000000000005</v>
      </c>
      <c r="I32" s="579">
        <f>I17*$D$4</f>
        <v>-7323.6</v>
      </c>
      <c r="J32" s="579"/>
      <c r="K32" s="579"/>
      <c r="L32" s="579"/>
      <c r="M32" s="579"/>
      <c r="N32" s="579"/>
      <c r="O32" s="579"/>
      <c r="P32" s="580"/>
    </row>
    <row r="33" spans="1:17">
      <c r="A33" s="577"/>
    </row>
    <row r="34" spans="1:17">
      <c r="A34" s="577"/>
      <c r="B34" s="573" t="s">
        <v>925</v>
      </c>
    </row>
    <row r="35" spans="1:17">
      <c r="A35" s="577"/>
      <c r="B35" s="578" t="s">
        <v>869</v>
      </c>
      <c r="C35" s="579"/>
      <c r="D35" s="579"/>
      <c r="E35" s="579">
        <f>E32</f>
        <v>-6000</v>
      </c>
      <c r="F35" s="579">
        <f>F32</f>
        <v>-5698.8</v>
      </c>
      <c r="G35" s="579">
        <f>G32</f>
        <v>-6765.9000000000005</v>
      </c>
      <c r="H35" s="579">
        <f>H32</f>
        <v>-6425.9000000000005</v>
      </c>
      <c r="I35" s="579">
        <f>I32</f>
        <v>-7323.6</v>
      </c>
      <c r="J35" s="579"/>
      <c r="K35" s="579"/>
      <c r="L35" s="579"/>
      <c r="M35" s="579"/>
      <c r="N35" s="579"/>
      <c r="O35" s="579"/>
      <c r="P35" s="580"/>
    </row>
    <row r="37" spans="1:17">
      <c r="B37" s="573" t="s">
        <v>926</v>
      </c>
    </row>
    <row r="38" spans="1:17">
      <c r="B38" s="574" t="s">
        <v>927</v>
      </c>
      <c r="C38" s="564"/>
      <c r="D38" s="564"/>
      <c r="E38" s="564">
        <v>500</v>
      </c>
      <c r="F38" s="564">
        <f>E41</f>
        <v>400</v>
      </c>
      <c r="G38" s="564">
        <f>F41</f>
        <v>300</v>
      </c>
      <c r="H38" s="564">
        <f>G41</f>
        <v>200</v>
      </c>
      <c r="I38" s="564">
        <f>H41</f>
        <v>100</v>
      </c>
      <c r="J38" s="564"/>
      <c r="K38" s="564"/>
      <c r="L38" s="564"/>
      <c r="M38" s="564"/>
      <c r="N38" s="564"/>
      <c r="O38" s="564"/>
      <c r="P38" s="565"/>
    </row>
    <row r="39" spans="1:17">
      <c r="B39" s="575" t="s">
        <v>928</v>
      </c>
      <c r="E39" s="581"/>
      <c r="F39" s="581"/>
      <c r="G39" s="581"/>
      <c r="H39" s="581"/>
      <c r="I39" s="581"/>
      <c r="J39" s="581"/>
      <c r="K39" s="581"/>
      <c r="L39" s="581"/>
      <c r="M39" s="581"/>
      <c r="N39" s="581"/>
      <c r="O39" s="581"/>
      <c r="P39" s="582"/>
      <c r="Q39" s="581"/>
    </row>
    <row r="40" spans="1:17">
      <c r="B40" s="575" t="s">
        <v>929</v>
      </c>
      <c r="P40" s="568"/>
    </row>
    <row r="41" spans="1:17">
      <c r="B41" s="570" t="s">
        <v>930</v>
      </c>
      <c r="C41" s="571"/>
      <c r="D41" s="571"/>
      <c r="E41" s="571">
        <v>400</v>
      </c>
      <c r="F41" s="571">
        <v>300</v>
      </c>
      <c r="G41" s="571">
        <v>200</v>
      </c>
      <c r="H41" s="571">
        <v>100</v>
      </c>
      <c r="I41" s="571">
        <v>0</v>
      </c>
      <c r="J41" s="571"/>
      <c r="K41" s="571"/>
      <c r="L41" s="571"/>
      <c r="M41" s="571"/>
      <c r="N41" s="571"/>
      <c r="O41" s="571"/>
      <c r="P41" s="572"/>
    </row>
    <row r="42" spans="1:17">
      <c r="E42" s="583">
        <f>E38/SUM(E38:$I$38)</f>
        <v>0.33333333333333331</v>
      </c>
      <c r="F42" s="583">
        <f>F38/SUM(F38:$I$38)</f>
        <v>0.4</v>
      </c>
      <c r="G42" s="583">
        <f>G38/SUM(G38:$I$38)</f>
        <v>0.5</v>
      </c>
      <c r="H42" s="583">
        <f>H38/SUM(H38:$I$38)</f>
        <v>0.66666666666666663</v>
      </c>
      <c r="I42" s="583">
        <f>I38/SUM(I38:$I$38)</f>
        <v>1</v>
      </c>
    </row>
    <row r="43" spans="1:17">
      <c r="B43" s="573" t="s">
        <v>931</v>
      </c>
      <c r="E43" s="583"/>
      <c r="F43" s="583"/>
      <c r="G43" s="583"/>
      <c r="H43" s="583"/>
      <c r="I43" s="583"/>
    </row>
    <row r="44" spans="1:17">
      <c r="A44" s="558" t="s">
        <v>914</v>
      </c>
      <c r="B44" s="574" t="s">
        <v>932</v>
      </c>
      <c r="C44" s="564"/>
      <c r="D44" s="565">
        <f>E10+NPV($D$5,'F23 Q6(c) Solution'!F10:I10)</f>
        <v>1219060.7104035867</v>
      </c>
    </row>
    <row r="45" spans="1:17">
      <c r="B45" s="575" t="s">
        <v>933</v>
      </c>
      <c r="D45" s="568"/>
    </row>
    <row r="46" spans="1:17">
      <c r="A46" s="558" t="s">
        <v>918</v>
      </c>
      <c r="B46" s="575" t="s">
        <v>934</v>
      </c>
      <c r="D46" s="568">
        <f>NPV($D$5,E14:I14)</f>
        <v>-188209.78815166416</v>
      </c>
    </row>
    <row r="47" spans="1:17">
      <c r="A47" s="558" t="s">
        <v>918</v>
      </c>
      <c r="B47" s="575" t="s">
        <v>935</v>
      </c>
      <c r="D47" s="568">
        <f>NPV($D$5,E17:I17)</f>
        <v>-277527.40179540118</v>
      </c>
    </row>
    <row r="48" spans="1:17">
      <c r="A48" s="558" t="s">
        <v>914</v>
      </c>
      <c r="B48" s="575" t="s">
        <v>936</v>
      </c>
      <c r="D48" s="568">
        <f>E13</f>
        <v>-250000</v>
      </c>
    </row>
    <row r="49" spans="2:16">
      <c r="B49" s="570" t="s">
        <v>937</v>
      </c>
      <c r="C49" s="571"/>
      <c r="D49" s="572">
        <f>NPV(D5,E32:I32)</f>
        <v>-27752.740179540124</v>
      </c>
    </row>
    <row r="50" spans="2:16">
      <c r="B50" s="584" t="s">
        <v>105</v>
      </c>
      <c r="C50" s="573"/>
      <c r="D50" s="585">
        <f>SUM(D44:D49)</f>
        <v>475570.78027698118</v>
      </c>
    </row>
    <row r="51" spans="2:16">
      <c r="B51" s="575" t="s">
        <v>938</v>
      </c>
      <c r="D51" s="568">
        <f>MAX(0,D50)</f>
        <v>475570.78027698118</v>
      </c>
    </row>
    <row r="52" spans="2:16">
      <c r="B52" s="570" t="s">
        <v>931</v>
      </c>
      <c r="C52" s="571"/>
      <c r="D52" s="572">
        <f>-D50+D51</f>
        <v>0</v>
      </c>
    </row>
    <row r="54" spans="2:16">
      <c r="B54" s="573" t="s">
        <v>939</v>
      </c>
    </row>
    <row r="55" spans="2:16">
      <c r="B55" s="574" t="s">
        <v>927</v>
      </c>
      <c r="C55" s="564"/>
      <c r="D55" s="564"/>
      <c r="E55" s="564">
        <v>0</v>
      </c>
      <c r="F55" s="564">
        <f>E63</f>
        <v>-582239.69647934742</v>
      </c>
      <c r="G55" s="564">
        <f>F63</f>
        <v>-421629.13130331482</v>
      </c>
      <c r="H55" s="564">
        <f>G63</f>
        <v>-276044.33786848054</v>
      </c>
      <c r="I55" s="564">
        <f>H63</f>
        <v>-131553.90476190456</v>
      </c>
      <c r="J55" s="564"/>
      <c r="K55" s="564"/>
      <c r="L55" s="564"/>
      <c r="M55" s="564"/>
      <c r="N55" s="564"/>
      <c r="O55" s="564"/>
      <c r="P55" s="565"/>
    </row>
    <row r="56" spans="2:16">
      <c r="B56" s="575" t="s">
        <v>940</v>
      </c>
      <c r="E56" s="558">
        <f>SUM(D44:D48)*-1</f>
        <v>-503323.52045652131</v>
      </c>
      <c r="F56" s="558">
        <v>0</v>
      </c>
      <c r="G56" s="558">
        <v>0</v>
      </c>
      <c r="H56" s="558">
        <v>0</v>
      </c>
      <c r="I56" s="558">
        <v>0</v>
      </c>
      <c r="P56" s="568"/>
    </row>
    <row r="57" spans="2:16">
      <c r="B57" s="575" t="s">
        <v>941</v>
      </c>
      <c r="E57" s="558">
        <v>0</v>
      </c>
      <c r="F57" s="558">
        <v>0</v>
      </c>
      <c r="G57" s="558">
        <v>0</v>
      </c>
      <c r="H57" s="558">
        <v>0</v>
      </c>
      <c r="I57" s="558">
        <v>0</v>
      </c>
      <c r="P57" s="568"/>
    </row>
    <row r="58" spans="2:16">
      <c r="B58" s="575" t="s">
        <v>942</v>
      </c>
      <c r="E58" s="558">
        <f>E10</f>
        <v>295000</v>
      </c>
      <c r="F58" s="558">
        <f>F10</f>
        <v>280191</v>
      </c>
      <c r="G58" s="558">
        <f>G10</f>
        <v>266125</v>
      </c>
      <c r="H58" s="558">
        <f>H10</f>
        <v>252753</v>
      </c>
      <c r="I58" s="558">
        <f>I10</f>
        <v>240052</v>
      </c>
      <c r="P58" s="568"/>
    </row>
    <row r="59" spans="2:16">
      <c r="B59" s="575" t="s">
        <v>943</v>
      </c>
      <c r="E59" s="558">
        <f>SUM(E11:E14,E17)</f>
        <v>-351000</v>
      </c>
      <c r="F59" s="558">
        <f>SUM(F11:F14,F17)</f>
        <v>-104478</v>
      </c>
      <c r="G59" s="558">
        <f>SUM(G11:G14,G17)</f>
        <v>-112765</v>
      </c>
      <c r="H59" s="558">
        <f>SUM(H11:H14,H17)</f>
        <v>-107098</v>
      </c>
      <c r="I59" s="558">
        <f>SUM(I11:I14,I17)</f>
        <v>-113923</v>
      </c>
      <c r="P59" s="568"/>
    </row>
    <row r="60" spans="2:16">
      <c r="B60" s="575" t="s">
        <v>651</v>
      </c>
      <c r="E60" s="558">
        <f>(E55+E56)*$D$5+SUM(E10:E13)*$D$5</f>
        <v>-22916.176022826068</v>
      </c>
      <c r="F60" s="558">
        <f>(F55+F56)*$D$5+SUM(F10:F13)*$D$5</f>
        <v>-15102.434823967373</v>
      </c>
      <c r="G60" s="558">
        <f>(G55+G56)*$D$5+SUM(G10:G13)*$D$5</f>
        <v>-7775.2065651657431</v>
      </c>
      <c r="H60" s="558">
        <f>(H55+H56)*$D$5+SUM(H10:H13)*$D$5</f>
        <v>-1164.5668934240257</v>
      </c>
      <c r="I60" s="558">
        <f>(I55+I56)*$D$5+SUM(I10:I13)*$D$5</f>
        <v>5424.9047619047724</v>
      </c>
      <c r="P60" s="568"/>
    </row>
    <row r="61" spans="2:16">
      <c r="B61" s="575" t="s">
        <v>944</v>
      </c>
      <c r="E61" s="558">
        <v>0</v>
      </c>
      <c r="F61" s="558">
        <v>0</v>
      </c>
      <c r="G61" s="558">
        <v>0</v>
      </c>
      <c r="H61" s="558">
        <v>0</v>
      </c>
      <c r="I61" s="558">
        <v>0</v>
      </c>
      <c r="P61" s="568"/>
    </row>
    <row r="62" spans="2:16">
      <c r="B62" s="575" t="s">
        <v>945</v>
      </c>
      <c r="E62" s="558">
        <v>0</v>
      </c>
      <c r="F62" s="558">
        <v>0</v>
      </c>
      <c r="G62" s="558">
        <v>0</v>
      </c>
      <c r="H62" s="558">
        <v>0</v>
      </c>
      <c r="I62" s="558">
        <v>0</v>
      </c>
      <c r="P62" s="568"/>
    </row>
    <row r="63" spans="2:16">
      <c r="B63" s="570" t="s">
        <v>930</v>
      </c>
      <c r="C63" s="571"/>
      <c r="D63" s="571"/>
      <c r="E63" s="571">
        <f>SUM(E55:E62)</f>
        <v>-582239.69647934742</v>
      </c>
      <c r="F63" s="571">
        <f>SUM(F55:F62)</f>
        <v>-421629.13130331482</v>
      </c>
      <c r="G63" s="571">
        <f>SUM(G55:G62)</f>
        <v>-276044.33786848054</v>
      </c>
      <c r="H63" s="571">
        <f>SUM(H55:H62)</f>
        <v>-131553.90476190456</v>
      </c>
      <c r="I63" s="571">
        <f>SUM(I55:I62)</f>
        <v>2.1282176021486521E-10</v>
      </c>
      <c r="J63" s="571"/>
      <c r="K63" s="571"/>
      <c r="L63" s="571"/>
      <c r="M63" s="571"/>
      <c r="N63" s="571"/>
      <c r="O63" s="571"/>
      <c r="P63" s="572"/>
    </row>
    <row r="65" spans="2:16">
      <c r="B65" s="573" t="s">
        <v>946</v>
      </c>
    </row>
    <row r="66" spans="2:16">
      <c r="B66" s="574" t="s">
        <v>927</v>
      </c>
      <c r="C66" s="564"/>
      <c r="D66" s="564"/>
      <c r="E66" s="564">
        <v>0</v>
      </c>
      <c r="F66" s="564">
        <f>E74</f>
        <v>23140.37718851713</v>
      </c>
      <c r="G66" s="564">
        <f>F74</f>
        <v>18598.596047942989</v>
      </c>
      <c r="H66" s="564">
        <f>G74</f>
        <v>12762.625850340137</v>
      </c>
      <c r="I66" s="564">
        <f>H74</f>
        <v>6974.8571428571422</v>
      </c>
      <c r="J66" s="564"/>
      <c r="K66" s="564"/>
      <c r="L66" s="564"/>
      <c r="M66" s="564"/>
      <c r="N66" s="564"/>
      <c r="O66" s="564"/>
      <c r="P66" s="565"/>
    </row>
    <row r="67" spans="2:16">
      <c r="B67" s="575" t="s">
        <v>940</v>
      </c>
      <c r="E67" s="558">
        <f>-D49</f>
        <v>27752.740179540124</v>
      </c>
      <c r="F67" s="558">
        <v>0</v>
      </c>
      <c r="G67" s="558">
        <v>0</v>
      </c>
      <c r="H67" s="558">
        <v>0</v>
      </c>
      <c r="I67" s="558">
        <v>0</v>
      </c>
      <c r="P67" s="568"/>
    </row>
    <row r="68" spans="2:16">
      <c r="B68" s="575" t="s">
        <v>941</v>
      </c>
      <c r="E68" s="558">
        <v>0</v>
      </c>
      <c r="F68" s="558">
        <v>0</v>
      </c>
      <c r="G68" s="558">
        <v>0</v>
      </c>
      <c r="H68" s="558">
        <v>0</v>
      </c>
      <c r="I68" s="558">
        <v>0</v>
      </c>
      <c r="P68" s="568"/>
    </row>
    <row r="69" spans="2:16">
      <c r="B69" s="575" t="s">
        <v>942</v>
      </c>
      <c r="E69" s="558">
        <v>0</v>
      </c>
      <c r="F69" s="558">
        <v>0</v>
      </c>
      <c r="G69" s="558">
        <v>0</v>
      </c>
      <c r="H69" s="558">
        <v>0</v>
      </c>
      <c r="I69" s="558">
        <v>0</v>
      </c>
      <c r="P69" s="568"/>
    </row>
    <row r="70" spans="2:16">
      <c r="B70" s="575" t="s">
        <v>943</v>
      </c>
      <c r="E70" s="558">
        <v>0</v>
      </c>
      <c r="F70" s="558">
        <v>0</v>
      </c>
      <c r="G70" s="558">
        <v>0</v>
      </c>
      <c r="H70" s="558">
        <v>0</v>
      </c>
      <c r="I70" s="558">
        <v>0</v>
      </c>
      <c r="P70" s="568"/>
    </row>
    <row r="71" spans="2:16">
      <c r="B71" s="575" t="s">
        <v>651</v>
      </c>
      <c r="E71" s="558">
        <f>(E66+E67)*$D$5</f>
        <v>1387.6370089770062</v>
      </c>
      <c r="F71" s="558">
        <f>(F66+F67)*$D$5</f>
        <v>1157.0188594258566</v>
      </c>
      <c r="G71" s="558">
        <f>(G66+G67)*$D$5</f>
        <v>929.9298023971495</v>
      </c>
      <c r="H71" s="558">
        <f>(H66+H67)*$D$5</f>
        <v>638.13129251700684</v>
      </c>
      <c r="I71" s="558">
        <f>(I66+I67)*$D$5</f>
        <v>348.74285714285713</v>
      </c>
      <c r="P71" s="568"/>
    </row>
    <row r="72" spans="2:16">
      <c r="B72" s="575" t="s">
        <v>944</v>
      </c>
      <c r="E72" s="558">
        <v>0</v>
      </c>
      <c r="F72" s="558">
        <v>0</v>
      </c>
      <c r="G72" s="558">
        <v>0</v>
      </c>
      <c r="H72" s="558">
        <v>0</v>
      </c>
      <c r="I72" s="558">
        <v>0</v>
      </c>
      <c r="P72" s="568"/>
    </row>
    <row r="73" spans="2:16">
      <c r="B73" s="575" t="s">
        <v>945</v>
      </c>
      <c r="E73" s="558">
        <f>E32</f>
        <v>-6000</v>
      </c>
      <c r="F73" s="558">
        <f>F32</f>
        <v>-5698.8</v>
      </c>
      <c r="G73" s="558">
        <f>G32</f>
        <v>-6765.9000000000005</v>
      </c>
      <c r="H73" s="558">
        <f>H32</f>
        <v>-6425.9000000000005</v>
      </c>
      <c r="I73" s="558">
        <f>I32</f>
        <v>-7323.6</v>
      </c>
      <c r="P73" s="568"/>
    </row>
    <row r="74" spans="2:16">
      <c r="B74" s="570" t="s">
        <v>930</v>
      </c>
      <c r="C74" s="571"/>
      <c r="D74" s="571"/>
      <c r="E74" s="571">
        <f>SUM(E66:E73)</f>
        <v>23140.37718851713</v>
      </c>
      <c r="F74" s="571">
        <f>SUM(F66:F73)</f>
        <v>18598.596047942989</v>
      </c>
      <c r="G74" s="571">
        <f>SUM(G66:G73)</f>
        <v>12762.625850340137</v>
      </c>
      <c r="H74" s="571">
        <f>SUM(H66:H73)</f>
        <v>6974.8571428571422</v>
      </c>
      <c r="I74" s="571">
        <f>SUM(I66:I73)</f>
        <v>0</v>
      </c>
      <c r="J74" s="571"/>
      <c r="K74" s="571"/>
      <c r="L74" s="571"/>
      <c r="M74" s="571"/>
      <c r="N74" s="571"/>
      <c r="O74" s="571"/>
      <c r="P74" s="572"/>
    </row>
    <row r="76" spans="2:16">
      <c r="B76" s="573" t="s">
        <v>947</v>
      </c>
    </row>
    <row r="77" spans="2:16">
      <c r="B77" s="574" t="s">
        <v>927</v>
      </c>
      <c r="C77" s="564"/>
      <c r="D77" s="564"/>
      <c r="E77" s="564">
        <v>0</v>
      </c>
      <c r="F77" s="564">
        <f>E85</f>
        <v>332899.54619388678</v>
      </c>
      <c r="G77" s="564">
        <f>F85</f>
        <v>209726.71410214866</v>
      </c>
      <c r="H77" s="564">
        <f>G85</f>
        <v>110106.52490362804</v>
      </c>
      <c r="I77" s="564">
        <f>H85</f>
        <v>38537.283716269812</v>
      </c>
      <c r="J77" s="564"/>
      <c r="K77" s="564">
        <f>E77</f>
        <v>0</v>
      </c>
      <c r="L77" s="564">
        <f>K85</f>
        <v>399479.4554326642</v>
      </c>
      <c r="M77" s="564">
        <f>L85</f>
        <v>314590.07115322305</v>
      </c>
      <c r="N77" s="564">
        <f>M85</f>
        <v>220213.04980725615</v>
      </c>
      <c r="O77" s="564">
        <f>N85</f>
        <v>115611.85114880948</v>
      </c>
      <c r="P77" s="565"/>
    </row>
    <row r="78" spans="2:16">
      <c r="B78" s="575" t="s">
        <v>940</v>
      </c>
      <c r="E78" s="558">
        <f>D51</f>
        <v>475570.78027698118</v>
      </c>
      <c r="F78" s="558">
        <v>0</v>
      </c>
      <c r="G78" s="558">
        <v>0</v>
      </c>
      <c r="H78" s="558">
        <v>0</v>
      </c>
      <c r="I78" s="558">
        <v>0</v>
      </c>
      <c r="K78" s="558">
        <f t="shared" ref="K78:O83" si="0">E78</f>
        <v>475570.78027698118</v>
      </c>
      <c r="L78" s="558">
        <f t="shared" si="0"/>
        <v>0</v>
      </c>
      <c r="M78" s="558">
        <f t="shared" si="0"/>
        <v>0</v>
      </c>
      <c r="N78" s="558">
        <f t="shared" si="0"/>
        <v>0</v>
      </c>
      <c r="O78" s="558">
        <f t="shared" si="0"/>
        <v>0</v>
      </c>
      <c r="P78" s="568"/>
    </row>
    <row r="79" spans="2:16">
      <c r="B79" s="575" t="s">
        <v>941</v>
      </c>
      <c r="E79" s="558">
        <v>0</v>
      </c>
      <c r="F79" s="558">
        <v>0</v>
      </c>
      <c r="G79" s="558">
        <v>0</v>
      </c>
      <c r="H79" s="558">
        <v>0</v>
      </c>
      <c r="I79" s="558">
        <v>0</v>
      </c>
      <c r="K79" s="558">
        <f t="shared" si="0"/>
        <v>0</v>
      </c>
      <c r="L79" s="558">
        <f t="shared" si="0"/>
        <v>0</v>
      </c>
      <c r="M79" s="558">
        <f t="shared" si="0"/>
        <v>0</v>
      </c>
      <c r="N79" s="558">
        <f t="shared" si="0"/>
        <v>0</v>
      </c>
      <c r="O79" s="558">
        <f t="shared" si="0"/>
        <v>0</v>
      </c>
      <c r="P79" s="568"/>
    </row>
    <row r="80" spans="2:16">
      <c r="B80" s="575" t="s">
        <v>942</v>
      </c>
      <c r="E80" s="558">
        <v>0</v>
      </c>
      <c r="F80" s="558">
        <v>0</v>
      </c>
      <c r="G80" s="558">
        <v>0</v>
      </c>
      <c r="H80" s="558">
        <v>0</v>
      </c>
      <c r="I80" s="558">
        <v>0</v>
      </c>
      <c r="K80" s="558">
        <f t="shared" si="0"/>
        <v>0</v>
      </c>
      <c r="L80" s="558">
        <f t="shared" si="0"/>
        <v>0</v>
      </c>
      <c r="M80" s="558">
        <f t="shared" si="0"/>
        <v>0</v>
      </c>
      <c r="N80" s="558">
        <f t="shared" si="0"/>
        <v>0</v>
      </c>
      <c r="O80" s="558">
        <f t="shared" si="0"/>
        <v>0</v>
      </c>
      <c r="P80" s="568"/>
    </row>
    <row r="81" spans="2:16">
      <c r="B81" s="575" t="s">
        <v>943</v>
      </c>
      <c r="E81" s="558">
        <v>0</v>
      </c>
      <c r="F81" s="558">
        <v>0</v>
      </c>
      <c r="G81" s="558">
        <v>0</v>
      </c>
      <c r="H81" s="558">
        <v>0</v>
      </c>
      <c r="I81" s="558">
        <v>0</v>
      </c>
      <c r="K81" s="558">
        <f t="shared" si="0"/>
        <v>0</v>
      </c>
      <c r="L81" s="558">
        <f t="shared" si="0"/>
        <v>0</v>
      </c>
      <c r="M81" s="558">
        <f t="shared" si="0"/>
        <v>0</v>
      </c>
      <c r="N81" s="558">
        <f t="shared" si="0"/>
        <v>0</v>
      </c>
      <c r="O81" s="558">
        <f t="shared" si="0"/>
        <v>0</v>
      </c>
      <c r="P81" s="568"/>
    </row>
    <row r="82" spans="2:16">
      <c r="B82" s="575" t="s">
        <v>651</v>
      </c>
      <c r="E82" s="558">
        <f>(E77+E78)*$D$5</f>
        <v>23778.539013849062</v>
      </c>
      <c r="F82" s="558">
        <f>(F77+F78)*$D$5</f>
        <v>16644.977309694339</v>
      </c>
      <c r="G82" s="558">
        <f>(G77+G78)*$D$5</f>
        <v>10486.335705107434</v>
      </c>
      <c r="H82" s="558">
        <f>(H77+H78)*$D$5</f>
        <v>5505.3262451814026</v>
      </c>
      <c r="I82" s="558">
        <f>(I77+I78)*$D$5</f>
        <v>1926.8641858134906</v>
      </c>
      <c r="K82" s="558">
        <f>(K77+K78)*$D$5</f>
        <v>23778.539013849062</v>
      </c>
      <c r="L82" s="558">
        <f>(L77+L78)*$D$5</f>
        <v>19973.972771633213</v>
      </c>
      <c r="M82" s="558">
        <f>(M77+M78)*$D$5</f>
        <v>15729.503557661154</v>
      </c>
      <c r="N82" s="558">
        <f>(N77+N78)*$D$5</f>
        <v>11010.652490362809</v>
      </c>
      <c r="O82" s="558">
        <f>(O77+O78)*$D$5</f>
        <v>5780.5925574404746</v>
      </c>
      <c r="P82" s="568"/>
    </row>
    <row r="83" spans="2:16">
      <c r="B83" s="575" t="s">
        <v>944</v>
      </c>
      <c r="E83" s="558">
        <v>0</v>
      </c>
      <c r="F83" s="558">
        <v>0</v>
      </c>
      <c r="G83" s="558">
        <v>0</v>
      </c>
      <c r="H83" s="558">
        <v>0</v>
      </c>
      <c r="I83" s="558">
        <v>0</v>
      </c>
      <c r="K83" s="558">
        <f t="shared" si="0"/>
        <v>0</v>
      </c>
      <c r="L83" s="558">
        <f t="shared" si="0"/>
        <v>0</v>
      </c>
      <c r="M83" s="558">
        <f t="shared" si="0"/>
        <v>0</v>
      </c>
      <c r="N83" s="558">
        <f t="shared" si="0"/>
        <v>0</v>
      </c>
      <c r="O83" s="558">
        <f t="shared" si="0"/>
        <v>0</v>
      </c>
      <c r="P83" s="568"/>
    </row>
    <row r="84" spans="2:16">
      <c r="B84" s="575" t="s">
        <v>945</v>
      </c>
      <c r="E84" s="586">
        <f>-SUM(E77:E83)*E38/SUM(E38:$P$38)</f>
        <v>-166449.77309694342</v>
      </c>
      <c r="F84" s="558">
        <f>-SUM(F77:F83)*F38/SUM(F38:$P$38)</f>
        <v>-139817.80940143246</v>
      </c>
      <c r="G84" s="558">
        <f>-SUM(G77:G83)*G38/SUM(G38:$P$38)</f>
        <v>-110106.52490362804</v>
      </c>
      <c r="H84" s="558">
        <f>-SUM(H77:H83)*H38/SUM(H38:$P$38)</f>
        <v>-77074.567432539639</v>
      </c>
      <c r="I84" s="558">
        <f>-SUM(I77:I83)*I38/SUM(I38:$P$38)</f>
        <v>-40464.147902083307</v>
      </c>
      <c r="K84" s="586">
        <f>-20%*SUM(K77:K83)</f>
        <v>-99869.863858166049</v>
      </c>
      <c r="L84" s="558">
        <f>-25%*SUM(L77:L83)</f>
        <v>-104863.35705107436</v>
      </c>
      <c r="M84" s="558">
        <f>-(1/3)*SUM(M77:M83)</f>
        <v>-110106.52490362806</v>
      </c>
      <c r="N84" s="558">
        <f>-(1/2)*SUM(N77:N83)</f>
        <v>-115611.85114880948</v>
      </c>
      <c r="O84" s="558">
        <f>-SUM(O77:O83)</f>
        <v>-121392.44370624995</v>
      </c>
      <c r="P84" s="568"/>
    </row>
    <row r="85" spans="2:16">
      <c r="B85" s="570" t="s">
        <v>930</v>
      </c>
      <c r="C85" s="571"/>
      <c r="D85" s="571"/>
      <c r="E85" s="571">
        <f>SUM(E77:E84)</f>
        <v>332899.54619388678</v>
      </c>
      <c r="F85" s="571">
        <f>SUM(F77:F84)</f>
        <v>209726.71410214866</v>
      </c>
      <c r="G85" s="571">
        <f t="shared" ref="G85:O85" si="1">SUM(G77:G84)</f>
        <v>110106.52490362804</v>
      </c>
      <c r="H85" s="571">
        <f t="shared" si="1"/>
        <v>38537.283716269812</v>
      </c>
      <c r="I85" s="571">
        <f t="shared" si="1"/>
        <v>0</v>
      </c>
      <c r="J85" s="571"/>
      <c r="K85" s="571">
        <f>SUM(K77:K84)</f>
        <v>399479.4554326642</v>
      </c>
      <c r="L85" s="571">
        <f>SUM(L77:L84)</f>
        <v>314590.07115322305</v>
      </c>
      <c r="M85" s="571">
        <f t="shared" si="1"/>
        <v>220213.04980725615</v>
      </c>
      <c r="N85" s="571">
        <f t="shared" si="1"/>
        <v>115611.85114880948</v>
      </c>
      <c r="O85" s="571">
        <f t="shared" si="1"/>
        <v>0</v>
      </c>
      <c r="P85" s="572"/>
    </row>
    <row r="87" spans="2:16">
      <c r="B87" s="573" t="s">
        <v>948</v>
      </c>
    </row>
    <row r="88" spans="2:16">
      <c r="B88" s="574" t="s">
        <v>927</v>
      </c>
      <c r="C88" s="564"/>
      <c r="D88" s="564"/>
      <c r="E88" s="564">
        <f t="shared" ref="E88:I96" si="2">E55+E66+E77</f>
        <v>0</v>
      </c>
      <c r="F88" s="564">
        <f t="shared" si="2"/>
        <v>-226199.77309694351</v>
      </c>
      <c r="G88" s="564">
        <f t="shared" si="2"/>
        <v>-193303.82115322317</v>
      </c>
      <c r="H88" s="564">
        <f t="shared" si="2"/>
        <v>-153175.18711451237</v>
      </c>
      <c r="I88" s="564">
        <f t="shared" si="2"/>
        <v>-86041.763902777602</v>
      </c>
      <c r="J88" s="564"/>
      <c r="K88" s="564">
        <f t="shared" ref="K88:O94" si="3">E88</f>
        <v>0</v>
      </c>
      <c r="L88" s="564">
        <f>F55+F66+L77</f>
        <v>-159619.86385816609</v>
      </c>
      <c r="M88" s="564">
        <f>G55+G66+M77</f>
        <v>-88440.464102148777</v>
      </c>
      <c r="N88" s="564">
        <f>H55+H66+N77</f>
        <v>-43068.662210884271</v>
      </c>
      <c r="O88" s="564">
        <f>I55+I66+O77</f>
        <v>-8967.1964702379337</v>
      </c>
      <c r="P88" s="565"/>
    </row>
    <row r="89" spans="2:16">
      <c r="B89" s="575" t="s">
        <v>940</v>
      </c>
      <c r="E89" s="558">
        <f t="shared" si="2"/>
        <v>0</v>
      </c>
      <c r="F89" s="558">
        <f t="shared" si="2"/>
        <v>0</v>
      </c>
      <c r="G89" s="558">
        <f t="shared" si="2"/>
        <v>0</v>
      </c>
      <c r="H89" s="558">
        <f t="shared" si="2"/>
        <v>0</v>
      </c>
      <c r="I89" s="558">
        <f t="shared" si="2"/>
        <v>0</v>
      </c>
      <c r="K89" s="558">
        <f t="shared" si="3"/>
        <v>0</v>
      </c>
      <c r="L89" s="558">
        <f t="shared" si="3"/>
        <v>0</v>
      </c>
      <c r="M89" s="558">
        <f t="shared" si="3"/>
        <v>0</v>
      </c>
      <c r="N89" s="558">
        <f t="shared" si="3"/>
        <v>0</v>
      </c>
      <c r="O89" s="558">
        <f t="shared" si="3"/>
        <v>0</v>
      </c>
      <c r="P89" s="568"/>
    </row>
    <row r="90" spans="2:16">
      <c r="B90" s="575" t="s">
        <v>941</v>
      </c>
      <c r="E90" s="558">
        <f t="shared" si="2"/>
        <v>0</v>
      </c>
      <c r="F90" s="558">
        <f t="shared" si="2"/>
        <v>0</v>
      </c>
      <c r="G90" s="558">
        <f t="shared" si="2"/>
        <v>0</v>
      </c>
      <c r="H90" s="558">
        <f t="shared" si="2"/>
        <v>0</v>
      </c>
      <c r="I90" s="558">
        <f t="shared" si="2"/>
        <v>0</v>
      </c>
      <c r="K90" s="558">
        <f t="shared" si="3"/>
        <v>0</v>
      </c>
      <c r="L90" s="558">
        <f t="shared" si="3"/>
        <v>0</v>
      </c>
      <c r="M90" s="558">
        <f t="shared" si="3"/>
        <v>0</v>
      </c>
      <c r="N90" s="558">
        <f t="shared" si="3"/>
        <v>0</v>
      </c>
      <c r="O90" s="558">
        <f t="shared" si="3"/>
        <v>0</v>
      </c>
      <c r="P90" s="568"/>
    </row>
    <row r="91" spans="2:16">
      <c r="B91" s="575" t="s">
        <v>942</v>
      </c>
      <c r="E91" s="558">
        <f t="shared" si="2"/>
        <v>295000</v>
      </c>
      <c r="F91" s="558">
        <f t="shared" si="2"/>
        <v>280191</v>
      </c>
      <c r="G91" s="558">
        <f t="shared" si="2"/>
        <v>266125</v>
      </c>
      <c r="H91" s="558">
        <f t="shared" si="2"/>
        <v>252753</v>
      </c>
      <c r="I91" s="558">
        <f t="shared" si="2"/>
        <v>240052</v>
      </c>
      <c r="K91" s="558">
        <f t="shared" si="3"/>
        <v>295000</v>
      </c>
      <c r="L91" s="558">
        <f>F91</f>
        <v>280191</v>
      </c>
      <c r="M91" s="558">
        <f t="shared" si="3"/>
        <v>266125</v>
      </c>
      <c r="N91" s="558">
        <f t="shared" si="3"/>
        <v>252753</v>
      </c>
      <c r="O91" s="558">
        <f t="shared" si="3"/>
        <v>240052</v>
      </c>
      <c r="P91" s="568"/>
    </row>
    <row r="92" spans="2:16">
      <c r="B92" s="575" t="s">
        <v>943</v>
      </c>
      <c r="E92" s="558">
        <f>E59+E70+E81</f>
        <v>-351000</v>
      </c>
      <c r="F92" s="558">
        <f t="shared" si="2"/>
        <v>-104478</v>
      </c>
      <c r="G92" s="558">
        <f t="shared" si="2"/>
        <v>-112765</v>
      </c>
      <c r="H92" s="558">
        <f t="shared" si="2"/>
        <v>-107098</v>
      </c>
      <c r="I92" s="558">
        <f t="shared" si="2"/>
        <v>-113923</v>
      </c>
      <c r="K92" s="558">
        <f t="shared" si="3"/>
        <v>-351000</v>
      </c>
      <c r="L92" s="558">
        <f t="shared" si="3"/>
        <v>-104478</v>
      </c>
      <c r="M92" s="558">
        <f t="shared" si="3"/>
        <v>-112765</v>
      </c>
      <c r="N92" s="558">
        <f t="shared" si="3"/>
        <v>-107098</v>
      </c>
      <c r="O92" s="558">
        <f t="shared" si="3"/>
        <v>-113923</v>
      </c>
      <c r="P92" s="568"/>
    </row>
    <row r="93" spans="2:16">
      <c r="B93" s="575" t="s">
        <v>651</v>
      </c>
      <c r="E93" s="586">
        <f>E60+E71+E82</f>
        <v>2250</v>
      </c>
      <c r="F93" s="558">
        <f t="shared" si="2"/>
        <v>2699.5613451528225</v>
      </c>
      <c r="G93" s="558">
        <f t="shared" si="2"/>
        <v>3641.058942338841</v>
      </c>
      <c r="H93" s="558">
        <f t="shared" si="2"/>
        <v>4978.8906442743837</v>
      </c>
      <c r="I93" s="558">
        <f t="shared" si="2"/>
        <v>7700.5118048611203</v>
      </c>
      <c r="K93" s="586">
        <f>E60+E71+K82</f>
        <v>2250</v>
      </c>
      <c r="L93" s="558">
        <f>F60+F71+L82</f>
        <v>6028.5568070916961</v>
      </c>
      <c r="M93" s="558">
        <f>G60+G71+M82</f>
        <v>8884.2267948925601</v>
      </c>
      <c r="N93" s="558">
        <f>H60+H71+N82</f>
        <v>10484.216889455791</v>
      </c>
      <c r="O93" s="558">
        <f>I60+I71+O82</f>
        <v>11554.240176488103</v>
      </c>
      <c r="P93" s="568"/>
    </row>
    <row r="94" spans="2:16">
      <c r="B94" s="575" t="s">
        <v>944</v>
      </c>
      <c r="E94" s="558">
        <f t="shared" si="2"/>
        <v>0</v>
      </c>
      <c r="F94" s="558">
        <f t="shared" si="2"/>
        <v>0</v>
      </c>
      <c r="G94" s="558">
        <f t="shared" si="2"/>
        <v>0</v>
      </c>
      <c r="H94" s="558">
        <f t="shared" si="2"/>
        <v>0</v>
      </c>
      <c r="I94" s="558">
        <f t="shared" si="2"/>
        <v>0</v>
      </c>
      <c r="K94" s="558">
        <f t="shared" si="3"/>
        <v>0</v>
      </c>
      <c r="L94" s="558">
        <f t="shared" si="3"/>
        <v>0</v>
      </c>
      <c r="M94" s="558">
        <f t="shared" si="3"/>
        <v>0</v>
      </c>
      <c r="N94" s="558">
        <f t="shared" si="3"/>
        <v>0</v>
      </c>
      <c r="O94" s="558">
        <f t="shared" si="3"/>
        <v>0</v>
      </c>
      <c r="P94" s="568"/>
    </row>
    <row r="95" spans="2:16">
      <c r="B95" s="575" t="s">
        <v>945</v>
      </c>
      <c r="E95" s="558">
        <f>E62+E73+E84</f>
        <v>-172449.77309694342</v>
      </c>
      <c r="F95" s="558">
        <f t="shared" si="2"/>
        <v>-145516.60940143245</v>
      </c>
      <c r="G95" s="558">
        <f t="shared" si="2"/>
        <v>-116872.42490362804</v>
      </c>
      <c r="H95" s="558">
        <f t="shared" si="2"/>
        <v>-83500.467432539634</v>
      </c>
      <c r="I95" s="558">
        <f t="shared" si="2"/>
        <v>-47787.747902083305</v>
      </c>
      <c r="K95" s="558">
        <f t="shared" ref="K95:O96" si="4">E62+E73+K84</f>
        <v>-105869.86385816605</v>
      </c>
      <c r="L95" s="558">
        <f t="shared" si="4"/>
        <v>-110562.15705107436</v>
      </c>
      <c r="M95" s="558">
        <f t="shared" si="4"/>
        <v>-116872.42490362805</v>
      </c>
      <c r="N95" s="558">
        <f t="shared" si="4"/>
        <v>-122037.75114880948</v>
      </c>
      <c r="O95" s="558">
        <f t="shared" si="4"/>
        <v>-128716.04370624995</v>
      </c>
      <c r="P95" s="568"/>
    </row>
    <row r="96" spans="2:16">
      <c r="B96" s="570" t="s">
        <v>930</v>
      </c>
      <c r="C96" s="571"/>
      <c r="D96" s="571"/>
      <c r="E96" s="571">
        <f t="shared" si="2"/>
        <v>-226199.77309694351</v>
      </c>
      <c r="F96" s="571">
        <f t="shared" si="2"/>
        <v>-193303.82115322317</v>
      </c>
      <c r="G96" s="571">
        <f t="shared" si="2"/>
        <v>-153175.18711451237</v>
      </c>
      <c r="H96" s="571">
        <f t="shared" si="2"/>
        <v>-86041.763902777602</v>
      </c>
      <c r="I96" s="571">
        <f t="shared" si="2"/>
        <v>2.1282176021486521E-10</v>
      </c>
      <c r="J96" s="571"/>
      <c r="K96" s="571">
        <f t="shared" si="4"/>
        <v>-159619.86385816609</v>
      </c>
      <c r="L96" s="571">
        <f t="shared" si="4"/>
        <v>-88440.464102148777</v>
      </c>
      <c r="M96" s="571">
        <f t="shared" si="4"/>
        <v>-43068.662210884271</v>
      </c>
      <c r="N96" s="571">
        <f t="shared" si="4"/>
        <v>-8967.1964702379337</v>
      </c>
      <c r="O96" s="571">
        <f t="shared" si="4"/>
        <v>2.1282176021486521E-10</v>
      </c>
      <c r="P96" s="572"/>
    </row>
    <row r="98" spans="2:16">
      <c r="B98" s="573" t="s">
        <v>949</v>
      </c>
    </row>
    <row r="99" spans="2:16">
      <c r="B99" s="574" t="s">
        <v>927</v>
      </c>
      <c r="C99" s="564"/>
      <c r="D99" s="564"/>
      <c r="E99" s="564">
        <v>0</v>
      </c>
      <c r="F99" s="564">
        <f>E103</f>
        <v>175000</v>
      </c>
      <c r="G99" s="564">
        <f>F103</f>
        <v>110250</v>
      </c>
      <c r="H99" s="564">
        <f>G103</f>
        <v>57881.25</v>
      </c>
      <c r="I99" s="564">
        <f>H103</f>
        <v>20258.4375</v>
      </c>
      <c r="J99" s="564"/>
      <c r="K99" s="564">
        <f>E99</f>
        <v>0</v>
      </c>
      <c r="L99" s="564">
        <f>K103</f>
        <v>210000</v>
      </c>
      <c r="M99" s="564">
        <f>L103</f>
        <v>165375</v>
      </c>
      <c r="N99" s="564">
        <f>M103</f>
        <v>115762.5</v>
      </c>
      <c r="O99" s="564">
        <f>N103</f>
        <v>60775.3125</v>
      </c>
      <c r="P99" s="565"/>
    </row>
    <row r="100" spans="2:16">
      <c r="B100" s="575" t="s">
        <v>950</v>
      </c>
      <c r="E100" s="558">
        <f>(E11+E13)*-1</f>
        <v>250000</v>
      </c>
      <c r="F100" s="558">
        <f>(F11+F13)*-1</f>
        <v>0</v>
      </c>
      <c r="G100" s="558">
        <f>(G11+G13)*-1</f>
        <v>0</v>
      </c>
      <c r="H100" s="558">
        <f>(H11+H13)*-1</f>
        <v>0</v>
      </c>
      <c r="I100" s="558">
        <f>(I11+I13)*-1</f>
        <v>0</v>
      </c>
      <c r="K100" s="558">
        <f>E100</f>
        <v>250000</v>
      </c>
      <c r="L100" s="558">
        <f>F100</f>
        <v>0</v>
      </c>
      <c r="M100" s="558">
        <f>G100</f>
        <v>0</v>
      </c>
      <c r="N100" s="558">
        <f>H100</f>
        <v>0</v>
      </c>
      <c r="O100" s="558">
        <f>I100</f>
        <v>0</v>
      </c>
      <c r="P100" s="568"/>
    </row>
    <row r="101" spans="2:16">
      <c r="B101" s="575" t="s">
        <v>951</v>
      </c>
      <c r="E101" s="558">
        <f>(E99+E100)*$D$5</f>
        <v>12500</v>
      </c>
      <c r="F101" s="558">
        <f>(F99+F100)*$D$5</f>
        <v>8750</v>
      </c>
      <c r="G101" s="558">
        <f>(G99+G100)*$D$5</f>
        <v>5512.5</v>
      </c>
      <c r="H101" s="558">
        <f>(H99+H100)*$D$5</f>
        <v>2894.0625</v>
      </c>
      <c r="I101" s="558">
        <f>(I99+I100)*$D$5</f>
        <v>1012.921875</v>
      </c>
      <c r="K101" s="558">
        <f>(K99+K100)*$D$5</f>
        <v>12500</v>
      </c>
      <c r="L101" s="558">
        <f>(L99+L100)*$D$5</f>
        <v>10500</v>
      </c>
      <c r="M101" s="558">
        <f>(M99+M100)*$D$5</f>
        <v>8268.75</v>
      </c>
      <c r="N101" s="558">
        <f>(N99+N100)*$D$5</f>
        <v>5788.125</v>
      </c>
      <c r="O101" s="558">
        <f>(O99+O100)*$D$5</f>
        <v>3038.765625</v>
      </c>
      <c r="P101" s="568"/>
    </row>
    <row r="102" spans="2:16">
      <c r="B102" s="575" t="s">
        <v>952</v>
      </c>
      <c r="E102" s="586">
        <f>-SUM(E99:E101)*E38/SUM(E38:$I$38)</f>
        <v>-87500</v>
      </c>
      <c r="F102" s="558">
        <f>-SUM(F99:F101)*F38/SUM(F38:$I$38)</f>
        <v>-73500</v>
      </c>
      <c r="G102" s="558">
        <f>-SUM(G99:G101)*G38/SUM(G38:$I$38)</f>
        <v>-57881.25</v>
      </c>
      <c r="H102" s="558">
        <f>-SUM(H99:H101)*H38/SUM(H38:$I$38)</f>
        <v>-40516.875</v>
      </c>
      <c r="I102" s="558">
        <f>-SUM(I99:I101)*I38/SUM(I38:$I$38)</f>
        <v>-21271.359375</v>
      </c>
      <c r="K102" s="586">
        <f>-SUM(K99:K101)*(1/5)</f>
        <v>-52500</v>
      </c>
      <c r="L102" s="558">
        <f>-SUM(L99:L101)*(1/4)</f>
        <v>-55125</v>
      </c>
      <c r="M102" s="558">
        <f>-SUM(M99:M101)*(1/3)</f>
        <v>-57881.25</v>
      </c>
      <c r="N102" s="558">
        <f>-SUM(N99:N101)*(1/2)</f>
        <v>-60775.3125</v>
      </c>
      <c r="O102" s="558">
        <f>-SUM(O99:O101)*(1)</f>
        <v>-63814.078125</v>
      </c>
      <c r="P102" s="568"/>
    </row>
    <row r="103" spans="2:16">
      <c r="B103" s="570" t="s">
        <v>930</v>
      </c>
      <c r="C103" s="571"/>
      <c r="D103" s="571"/>
      <c r="E103" s="571">
        <f>SUM(E99:E102)</f>
        <v>175000</v>
      </c>
      <c r="F103" s="571">
        <f>SUM(F99:F102)</f>
        <v>110250</v>
      </c>
      <c r="G103" s="571">
        <f t="shared" ref="G103:O103" si="5">SUM(G99:G102)</f>
        <v>57881.25</v>
      </c>
      <c r="H103" s="571">
        <f t="shared" si="5"/>
        <v>20258.4375</v>
      </c>
      <c r="I103" s="571">
        <f t="shared" si="5"/>
        <v>0</v>
      </c>
      <c r="J103" s="571"/>
      <c r="K103" s="571">
        <f>SUM(K99:K102)</f>
        <v>210000</v>
      </c>
      <c r="L103" s="571">
        <f>SUM(L99:L102)</f>
        <v>165375</v>
      </c>
      <c r="M103" s="571">
        <f t="shared" si="5"/>
        <v>115762.5</v>
      </c>
      <c r="N103" s="571">
        <f t="shared" si="5"/>
        <v>60775.3125</v>
      </c>
      <c r="O103" s="571">
        <f t="shared" si="5"/>
        <v>0</v>
      </c>
      <c r="P103" s="572"/>
    </row>
    <row r="105" spans="2:16">
      <c r="B105" s="573" t="s">
        <v>953</v>
      </c>
    </row>
    <row r="106" spans="2:16">
      <c r="B106" s="574" t="s">
        <v>954</v>
      </c>
      <c r="C106" s="564"/>
      <c r="D106" s="564"/>
      <c r="E106" s="564">
        <f>-E84</f>
        <v>166449.77309694342</v>
      </c>
      <c r="F106" s="564">
        <f t="shared" ref="F106:O106" si="6">-F84</f>
        <v>139817.80940143246</v>
      </c>
      <c r="G106" s="564">
        <f t="shared" si="6"/>
        <v>110106.52490362804</v>
      </c>
      <c r="H106" s="564">
        <f t="shared" si="6"/>
        <v>77074.567432539639</v>
      </c>
      <c r="I106" s="564">
        <f t="shared" si="6"/>
        <v>40464.147902083307</v>
      </c>
      <c r="J106" s="564"/>
      <c r="K106" s="564">
        <f t="shared" si="6"/>
        <v>99869.863858166049</v>
      </c>
      <c r="L106" s="564">
        <f t="shared" si="6"/>
        <v>104863.35705107436</v>
      </c>
      <c r="M106" s="564">
        <f t="shared" si="6"/>
        <v>110106.52490362806</v>
      </c>
      <c r="N106" s="564">
        <f t="shared" si="6"/>
        <v>115611.85114880948</v>
      </c>
      <c r="O106" s="564">
        <f t="shared" si="6"/>
        <v>121392.44370624995</v>
      </c>
      <c r="P106" s="565"/>
    </row>
    <row r="107" spans="2:16">
      <c r="B107" s="575" t="s">
        <v>955</v>
      </c>
      <c r="E107" s="558">
        <f>-E73</f>
        <v>6000</v>
      </c>
      <c r="F107" s="558">
        <f>-F73</f>
        <v>5698.8</v>
      </c>
      <c r="G107" s="558">
        <f>-G73</f>
        <v>6765.9000000000005</v>
      </c>
      <c r="H107" s="558">
        <f>-H73</f>
        <v>6425.9000000000005</v>
      </c>
      <c r="I107" s="558">
        <f>-I73</f>
        <v>7323.6</v>
      </c>
      <c r="K107" s="558">
        <f>E107</f>
        <v>6000</v>
      </c>
      <c r="L107" s="558">
        <f t="shared" ref="L107:O109" si="7">F107</f>
        <v>5698.8</v>
      </c>
      <c r="M107" s="558">
        <f t="shared" si="7"/>
        <v>6765.9000000000005</v>
      </c>
      <c r="N107" s="558">
        <f t="shared" si="7"/>
        <v>6425.9000000000005</v>
      </c>
      <c r="O107" s="558">
        <f t="shared" si="7"/>
        <v>7323.6</v>
      </c>
      <c r="P107" s="568"/>
    </row>
    <row r="108" spans="2:16">
      <c r="B108" s="575" t="s">
        <v>956</v>
      </c>
      <c r="E108" s="558">
        <f>-E17</f>
        <v>60000</v>
      </c>
      <c r="F108" s="558">
        <f>-F17</f>
        <v>56988</v>
      </c>
      <c r="G108" s="558">
        <f>-G17</f>
        <v>67659</v>
      </c>
      <c r="H108" s="558">
        <f>-H17</f>
        <v>64259</v>
      </c>
      <c r="I108" s="558">
        <f>-I17</f>
        <v>73236</v>
      </c>
      <c r="K108" s="558">
        <f>E108</f>
        <v>60000</v>
      </c>
      <c r="L108" s="558">
        <f t="shared" si="7"/>
        <v>56988</v>
      </c>
      <c r="M108" s="558">
        <f t="shared" si="7"/>
        <v>67659</v>
      </c>
      <c r="N108" s="558">
        <f t="shared" si="7"/>
        <v>64259</v>
      </c>
      <c r="O108" s="558">
        <f t="shared" si="7"/>
        <v>73236</v>
      </c>
      <c r="P108" s="568"/>
    </row>
    <row r="109" spans="2:16">
      <c r="B109" s="575" t="s">
        <v>957</v>
      </c>
      <c r="E109" s="558">
        <f>-E12-E14</f>
        <v>41000</v>
      </c>
      <c r="F109" s="558">
        <f>-F12-F14</f>
        <v>47490</v>
      </c>
      <c r="G109" s="558">
        <f>-G12-G14</f>
        <v>45106</v>
      </c>
      <c r="H109" s="558">
        <f>-H12-H14</f>
        <v>42839</v>
      </c>
      <c r="I109" s="558">
        <f>-I12-I14</f>
        <v>40687</v>
      </c>
      <c r="K109" s="558">
        <f>E109</f>
        <v>41000</v>
      </c>
      <c r="L109" s="558">
        <f t="shared" si="7"/>
        <v>47490</v>
      </c>
      <c r="M109" s="558">
        <f t="shared" si="7"/>
        <v>45106</v>
      </c>
      <c r="N109" s="558">
        <f t="shared" si="7"/>
        <v>42839</v>
      </c>
      <c r="O109" s="558">
        <f t="shared" si="7"/>
        <v>40687</v>
      </c>
      <c r="P109" s="568"/>
    </row>
    <row r="110" spans="2:16">
      <c r="B110" s="575" t="s">
        <v>958</v>
      </c>
      <c r="E110" s="558">
        <f>-E102</f>
        <v>87500</v>
      </c>
      <c r="F110" s="558">
        <f t="shared" ref="F110:O110" si="8">-F102</f>
        <v>73500</v>
      </c>
      <c r="G110" s="558">
        <f t="shared" si="8"/>
        <v>57881.25</v>
      </c>
      <c r="H110" s="558">
        <f t="shared" si="8"/>
        <v>40516.875</v>
      </c>
      <c r="I110" s="558">
        <f t="shared" si="8"/>
        <v>21271.359375</v>
      </c>
      <c r="K110" s="558">
        <f t="shared" si="8"/>
        <v>52500</v>
      </c>
      <c r="L110" s="558">
        <f t="shared" si="8"/>
        <v>55125</v>
      </c>
      <c r="M110" s="558">
        <f t="shared" si="8"/>
        <v>57881.25</v>
      </c>
      <c r="N110" s="558">
        <f t="shared" si="8"/>
        <v>60775.3125</v>
      </c>
      <c r="O110" s="558">
        <f t="shared" si="8"/>
        <v>63814.078125</v>
      </c>
      <c r="P110" s="568"/>
    </row>
    <row r="111" spans="2:16">
      <c r="B111" s="584" t="s">
        <v>959</v>
      </c>
      <c r="E111" s="586">
        <f>SUM(E106:E110)</f>
        <v>360949.77309694339</v>
      </c>
      <c r="F111" s="573">
        <f t="shared" ref="F111:O111" si="9">SUM(F106:F110)</f>
        <v>323494.60940143245</v>
      </c>
      <c r="G111" s="573">
        <f t="shared" si="9"/>
        <v>287518.67490362807</v>
      </c>
      <c r="H111" s="573">
        <f t="shared" si="9"/>
        <v>231115.34243253962</v>
      </c>
      <c r="I111" s="573">
        <f t="shared" si="9"/>
        <v>182982.1072770833</v>
      </c>
      <c r="J111" s="573"/>
      <c r="K111" s="586">
        <f t="shared" si="9"/>
        <v>259369.86385816603</v>
      </c>
      <c r="L111" s="573">
        <f t="shared" si="9"/>
        <v>270165.15705107438</v>
      </c>
      <c r="M111" s="573">
        <f t="shared" si="9"/>
        <v>287518.67490362807</v>
      </c>
      <c r="N111" s="573">
        <f t="shared" si="9"/>
        <v>289911.06364880945</v>
      </c>
      <c r="O111" s="573">
        <f t="shared" si="9"/>
        <v>306453.12183124997</v>
      </c>
      <c r="P111" s="585"/>
    </row>
    <row r="112" spans="2:16">
      <c r="B112" s="584"/>
      <c r="E112" s="573"/>
      <c r="P112" s="568"/>
    </row>
    <row r="113" spans="1:16">
      <c r="B113" s="575" t="s">
        <v>960</v>
      </c>
      <c r="E113" s="558">
        <f>E28</f>
        <v>-66000</v>
      </c>
      <c r="F113" s="558">
        <f>F28</f>
        <v>0</v>
      </c>
      <c r="G113" s="558">
        <f>G28</f>
        <v>0</v>
      </c>
      <c r="H113" s="558">
        <f>H28</f>
        <v>0</v>
      </c>
      <c r="I113" s="558">
        <f>I28</f>
        <v>0</v>
      </c>
      <c r="K113" s="558">
        <f>E113</f>
        <v>-66000</v>
      </c>
      <c r="L113" s="558">
        <f>L28</f>
        <v>0</v>
      </c>
      <c r="M113" s="558">
        <f>M28</f>
        <v>0</v>
      </c>
      <c r="N113" s="558">
        <f>N28</f>
        <v>0</v>
      </c>
      <c r="O113" s="558">
        <f>O28</f>
        <v>0</v>
      </c>
      <c r="P113" s="568"/>
    </row>
    <row r="114" spans="1:16">
      <c r="B114" s="575" t="s">
        <v>961</v>
      </c>
      <c r="E114" s="558">
        <f>E23+E25</f>
        <v>-38950</v>
      </c>
      <c r="F114" s="558">
        <f>F23+F25</f>
        <v>0</v>
      </c>
      <c r="G114" s="558">
        <f>G23+G25</f>
        <v>0</v>
      </c>
      <c r="H114" s="558">
        <f>H23+H25</f>
        <v>0</v>
      </c>
      <c r="I114" s="558">
        <f>I23+I25</f>
        <v>0</v>
      </c>
      <c r="K114" s="558">
        <f>E114</f>
        <v>-38950</v>
      </c>
      <c r="L114" s="558">
        <f>L23+L25</f>
        <v>0</v>
      </c>
      <c r="M114" s="558">
        <f>M23+M25</f>
        <v>0</v>
      </c>
      <c r="N114" s="558">
        <f>N23+N25</f>
        <v>0</v>
      </c>
      <c r="O114" s="558">
        <f>O23+O25</f>
        <v>0</v>
      </c>
      <c r="P114" s="568"/>
    </row>
    <row r="115" spans="1:16">
      <c r="B115" s="575" t="s">
        <v>962</v>
      </c>
      <c r="E115" s="558">
        <f>E102</f>
        <v>-87500</v>
      </c>
      <c r="F115" s="558">
        <f t="shared" ref="F115:O115" si="10">F102</f>
        <v>-73500</v>
      </c>
      <c r="G115" s="558">
        <f t="shared" si="10"/>
        <v>-57881.25</v>
      </c>
      <c r="H115" s="558">
        <f t="shared" si="10"/>
        <v>-40516.875</v>
      </c>
      <c r="I115" s="558">
        <f t="shared" si="10"/>
        <v>-21271.359375</v>
      </c>
      <c r="K115" s="558">
        <f t="shared" si="10"/>
        <v>-52500</v>
      </c>
      <c r="L115" s="558">
        <f t="shared" si="10"/>
        <v>-55125</v>
      </c>
      <c r="M115" s="558">
        <f t="shared" si="10"/>
        <v>-57881.25</v>
      </c>
      <c r="N115" s="558">
        <f t="shared" si="10"/>
        <v>-60775.3125</v>
      </c>
      <c r="O115" s="558">
        <f t="shared" si="10"/>
        <v>-63814.078125</v>
      </c>
      <c r="P115" s="568"/>
    </row>
    <row r="116" spans="1:16">
      <c r="B116" s="584" t="s">
        <v>359</v>
      </c>
      <c r="E116" s="586">
        <f>SUM(E113:E115)</f>
        <v>-192450</v>
      </c>
      <c r="F116" s="573">
        <f t="shared" ref="F116:O116" si="11">SUM(F113:F115)</f>
        <v>-73500</v>
      </c>
      <c r="G116" s="573">
        <f t="shared" si="11"/>
        <v>-57881.25</v>
      </c>
      <c r="H116" s="573">
        <f t="shared" si="11"/>
        <v>-40516.875</v>
      </c>
      <c r="I116" s="573">
        <f t="shared" si="11"/>
        <v>-21271.359375</v>
      </c>
      <c r="J116" s="573"/>
      <c r="K116" s="586">
        <f t="shared" si="11"/>
        <v>-157450</v>
      </c>
      <c r="L116" s="573">
        <f t="shared" si="11"/>
        <v>-55125</v>
      </c>
      <c r="M116" s="573">
        <f t="shared" si="11"/>
        <v>-57881.25</v>
      </c>
      <c r="N116" s="573">
        <f t="shared" si="11"/>
        <v>-60775.3125</v>
      </c>
      <c r="O116" s="573">
        <f t="shared" si="11"/>
        <v>-63814.078125</v>
      </c>
      <c r="P116" s="585"/>
    </row>
    <row r="117" spans="1:16">
      <c r="B117" s="584"/>
      <c r="P117" s="568"/>
    </row>
    <row r="118" spans="1:16">
      <c r="B118" s="584" t="s">
        <v>963</v>
      </c>
      <c r="E118" s="573">
        <f>E26+E27</f>
        <v>0</v>
      </c>
      <c r="F118" s="573">
        <f>F26+F27</f>
        <v>0</v>
      </c>
      <c r="G118" s="573">
        <f>G26+G27</f>
        <v>0</v>
      </c>
      <c r="H118" s="573">
        <f>H26+H27</f>
        <v>0</v>
      </c>
      <c r="I118" s="573">
        <f>I26+I27</f>
        <v>0</v>
      </c>
      <c r="J118" s="573"/>
      <c r="K118" s="573">
        <f>K26+K27</f>
        <v>0</v>
      </c>
      <c r="L118" s="573">
        <f>L26+L27</f>
        <v>0</v>
      </c>
      <c r="M118" s="573">
        <f>M26+M27</f>
        <v>0</v>
      </c>
      <c r="N118" s="573">
        <f>N26+N27</f>
        <v>0</v>
      </c>
      <c r="O118" s="573">
        <f>O26+O27</f>
        <v>0</v>
      </c>
      <c r="P118" s="585"/>
    </row>
    <row r="119" spans="1:16">
      <c r="B119" s="575"/>
      <c r="P119" s="568"/>
    </row>
    <row r="120" spans="1:16">
      <c r="B120" s="575" t="s">
        <v>367</v>
      </c>
      <c r="E120" s="558">
        <f>SUM(E88:E89)*$D$6+SUM(E10:E13)*$D$6</f>
        <v>2700</v>
      </c>
      <c r="F120" s="558">
        <f>SUM(F88:F89)*$D$6+SUM(F10:F13)*$D$6</f>
        <v>3239.4736141833891</v>
      </c>
      <c r="G120" s="558">
        <f>SUM(G88:G89)*$D$6+SUM(G10:G13)*$D$6</f>
        <v>4369.270730806611</v>
      </c>
      <c r="H120" s="558">
        <f>SUM(H88:H89)*$D$6+SUM(H10:H13)*$D$6</f>
        <v>5974.6687731292586</v>
      </c>
      <c r="I120" s="558">
        <f>SUM(I88:I89)*$D$6+SUM(I10:I13)*$D$6</f>
        <v>9240.6141658333436</v>
      </c>
      <c r="K120" s="558">
        <f>SUM(K88:K89)*$D$6+SUM(E10:E13)*$D$6</f>
        <v>2700</v>
      </c>
      <c r="L120" s="558">
        <f>SUM(L88:L89)*$D$6+SUM(F10:F13)*$D$6</f>
        <v>7234.2681685100342</v>
      </c>
      <c r="M120" s="558">
        <f>SUM(M88:M89)*$D$6+SUM(G10:G13)*$D$6</f>
        <v>10661.072153871073</v>
      </c>
      <c r="N120" s="558">
        <f>SUM(N88:N89)*$D$6+SUM(H10:H13)*$D$6</f>
        <v>12581.060267346944</v>
      </c>
      <c r="O120" s="558">
        <f>SUM(O88:O89)*$D$6+SUM(I10:I13)*$D$6</f>
        <v>13865.088211785724</v>
      </c>
      <c r="P120" s="568"/>
    </row>
    <row r="121" spans="1:16">
      <c r="B121" s="575" t="s">
        <v>651</v>
      </c>
      <c r="E121" s="558">
        <f>-E93</f>
        <v>-2250</v>
      </c>
      <c r="F121" s="558">
        <f>-F93</f>
        <v>-2699.5613451528225</v>
      </c>
      <c r="G121" s="558">
        <f>-G93</f>
        <v>-3641.058942338841</v>
      </c>
      <c r="H121" s="558">
        <f>-H93</f>
        <v>-4978.8906442743837</v>
      </c>
      <c r="I121" s="558">
        <f>-I93</f>
        <v>-7700.5118048611203</v>
      </c>
      <c r="K121" s="558">
        <f>-K93</f>
        <v>-2250</v>
      </c>
      <c r="L121" s="558">
        <f>-L93</f>
        <v>-6028.5568070916961</v>
      </c>
      <c r="M121" s="558">
        <f>-M93</f>
        <v>-8884.2267948925601</v>
      </c>
      <c r="N121" s="558">
        <f>-N93</f>
        <v>-10484.216889455791</v>
      </c>
      <c r="O121" s="558">
        <f>-O93</f>
        <v>-11554.240176488103</v>
      </c>
      <c r="P121" s="568"/>
    </row>
    <row r="122" spans="1:16">
      <c r="B122" s="584" t="s">
        <v>964</v>
      </c>
      <c r="E122" s="586">
        <f>SUM(E120:E121)</f>
        <v>450</v>
      </c>
      <c r="F122" s="573">
        <f t="shared" ref="F122:O122" si="12">SUM(F120:F121)</f>
        <v>539.91226903056668</v>
      </c>
      <c r="G122" s="573">
        <f t="shared" si="12"/>
        <v>728.21178846777002</v>
      </c>
      <c r="H122" s="573">
        <f t="shared" si="12"/>
        <v>995.77812885487492</v>
      </c>
      <c r="I122" s="573">
        <f t="shared" si="12"/>
        <v>1540.1023609722233</v>
      </c>
      <c r="J122" s="573"/>
      <c r="K122" s="586">
        <f t="shared" si="12"/>
        <v>450</v>
      </c>
      <c r="L122" s="573">
        <f t="shared" si="12"/>
        <v>1205.7113614183381</v>
      </c>
      <c r="M122" s="573">
        <f t="shared" si="12"/>
        <v>1776.8453589785131</v>
      </c>
      <c r="N122" s="573">
        <f t="shared" si="12"/>
        <v>2096.8433778911531</v>
      </c>
      <c r="O122" s="573">
        <f t="shared" si="12"/>
        <v>2310.8480352976203</v>
      </c>
      <c r="P122" s="585"/>
    </row>
    <row r="123" spans="1:16" ht="15" thickBot="1">
      <c r="B123" s="575"/>
      <c r="P123" s="568"/>
    </row>
    <row r="124" spans="1:16" ht="15" thickBot="1">
      <c r="B124" s="587" t="s">
        <v>965</v>
      </c>
      <c r="C124" s="571"/>
      <c r="D124" s="571"/>
      <c r="E124" s="588">
        <f>E111+E116+E118+E122</f>
        <v>168949.77309694339</v>
      </c>
      <c r="F124" s="589">
        <f>F111+F116+F118+F122</f>
        <v>250534.52167046303</v>
      </c>
      <c r="G124" s="589">
        <f>G111+G116+G118+G122</f>
        <v>230365.63669209584</v>
      </c>
      <c r="H124" s="589">
        <f>H111+H116+H118+H122</f>
        <v>191594.24556139449</v>
      </c>
      <c r="I124" s="589">
        <f>I111+I116+I118+I122</f>
        <v>163250.85026305553</v>
      </c>
      <c r="J124" s="589"/>
      <c r="K124" s="588">
        <f>K111+K116+K118+K122</f>
        <v>102369.86385816603</v>
      </c>
      <c r="L124" s="589">
        <f>L111+L116+L118+L122</f>
        <v>216245.86841249271</v>
      </c>
      <c r="M124" s="589">
        <f>M111+M116+M118+M122</f>
        <v>231414.27026260659</v>
      </c>
      <c r="N124" s="589">
        <f>N111+N116+N118+N122</f>
        <v>231232.59452670059</v>
      </c>
      <c r="O124" s="589">
        <f>O111+O116+O118+O122</f>
        <v>244949.89174154759</v>
      </c>
      <c r="P124" s="590"/>
    </row>
    <row r="126" spans="1:16">
      <c r="B126" s="591"/>
      <c r="N126" s="592"/>
    </row>
    <row r="127" spans="1:16">
      <c r="A127" s="593"/>
    </row>
    <row r="128" spans="1:16">
      <c r="A128" s="593"/>
    </row>
    <row r="137" spans="1:5">
      <c r="A137" s="594"/>
    </row>
    <row r="138" spans="1:5">
      <c r="A138" s="595"/>
    </row>
    <row r="143" spans="1:5">
      <c r="E143" s="596"/>
    </row>
    <row r="144" spans="1:5">
      <c r="B144" s="597"/>
      <c r="E144" s="598"/>
    </row>
    <row r="145" spans="1:16">
      <c r="E145" s="599"/>
      <c r="F145" s="599"/>
      <c r="G145" s="599"/>
      <c r="H145" s="599"/>
      <c r="I145" s="599"/>
      <c r="J145" s="599"/>
      <c r="K145" s="599"/>
      <c r="L145" s="599"/>
      <c r="M145" s="599"/>
      <c r="N145" s="599"/>
      <c r="O145" s="599"/>
      <c r="P145" s="599"/>
    </row>
    <row r="155" spans="1:16">
      <c r="A155" s="573"/>
      <c r="B155" s="573"/>
      <c r="C155" s="573"/>
      <c r="D155" s="573"/>
      <c r="E155" s="573"/>
      <c r="F155" s="573"/>
      <c r="G155" s="573"/>
      <c r="H155" s="573"/>
      <c r="I155" s="573"/>
      <c r="J155" s="573"/>
      <c r="K155" s="573"/>
      <c r="L155" s="573"/>
      <c r="M155" s="573"/>
      <c r="N155" s="573"/>
      <c r="O155" s="573"/>
      <c r="P155" s="573"/>
    </row>
    <row r="156" spans="1:16">
      <c r="B156" s="600"/>
    </row>
    <row r="162" spans="1:16">
      <c r="A162" s="573"/>
      <c r="B162" s="573"/>
      <c r="C162" s="573"/>
      <c r="D162" s="573"/>
      <c r="E162" s="573"/>
      <c r="F162" s="573"/>
      <c r="G162" s="573"/>
      <c r="H162" s="573"/>
      <c r="I162" s="573"/>
      <c r="J162" s="573"/>
      <c r="K162" s="573"/>
      <c r="L162" s="573"/>
      <c r="M162" s="573"/>
      <c r="N162" s="573"/>
      <c r="O162" s="573"/>
      <c r="P162" s="573"/>
    </row>
    <row r="163" spans="1:16">
      <c r="B163" s="600"/>
    </row>
    <row r="164" spans="1:16">
      <c r="B164" s="600"/>
    </row>
    <row r="165" spans="1:16">
      <c r="B165" s="600"/>
    </row>
    <row r="166" spans="1:16">
      <c r="B166" s="600"/>
    </row>
  </sheetData>
  <mergeCells count="1">
    <mergeCell ref="G2:O4"/>
  </mergeCells>
  <pageMargins left="0.7" right="0.7" top="0.75" bottom="0.75" header="0.3" footer="0.3"/>
  <pageSetup orientation="portrait" r:id="rId1"/>
  <headerFooter>
    <oddFooter>&amp;C_x000D_&amp;1#&amp;"Calibri"&amp;10&amp;K000000 CONFIDENTIAL</oddFooter>
  </headerFooter>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4CA08-8971-4792-BDAD-5488BE0D698C}">
  <sheetPr>
    <tabColor rgb="FFFDF1D9"/>
  </sheetPr>
  <dimension ref="A1:D52"/>
  <sheetViews>
    <sheetView workbookViewId="0">
      <selection activeCell="I5" sqref="I5"/>
    </sheetView>
  </sheetViews>
  <sheetFormatPr defaultColWidth="8.77734375" defaultRowHeight="14.4"/>
  <cols>
    <col min="1" max="1" width="46.88671875" style="328" customWidth="1"/>
    <col min="2" max="2" width="18.109375" style="328" customWidth="1"/>
    <col min="3" max="16384" width="8.77734375" style="328"/>
  </cols>
  <sheetData>
    <row r="1" spans="1:2" s="316" customFormat="1" ht="17.399999999999999">
      <c r="A1" s="315" t="s">
        <v>883</v>
      </c>
    </row>
    <row r="2" spans="1:2" s="316" customFormat="1" ht="15.6">
      <c r="A2" s="317" t="s">
        <v>542</v>
      </c>
    </row>
    <row r="3" spans="1:2" s="316" customFormat="1" ht="15.6">
      <c r="A3" s="317" t="s">
        <v>884</v>
      </c>
    </row>
    <row r="4" spans="1:2" s="507" customFormat="1"/>
    <row r="5" spans="1:2" s="507" customFormat="1" ht="15.6">
      <c r="A5" s="509" t="s">
        <v>885</v>
      </c>
    </row>
    <row r="6" spans="1:2" s="507" customFormat="1" ht="15.6">
      <c r="A6" s="508"/>
    </row>
    <row r="7" spans="1:2" s="507" customFormat="1" ht="15.6">
      <c r="A7" s="539" t="s">
        <v>886</v>
      </c>
      <c r="B7" s="540">
        <v>0.2</v>
      </c>
    </row>
    <row r="8" spans="1:2" s="507" customFormat="1" ht="15.6">
      <c r="A8" s="539" t="s">
        <v>887</v>
      </c>
      <c r="B8" s="541">
        <v>5.5E-2</v>
      </c>
    </row>
    <row r="9" spans="1:2" s="507" customFormat="1" ht="15.6">
      <c r="A9" s="539" t="s">
        <v>888</v>
      </c>
      <c r="B9" s="540">
        <v>0.75</v>
      </c>
    </row>
    <row r="10" spans="1:2" s="507" customFormat="1" ht="15.6">
      <c r="A10" s="539" t="s">
        <v>889</v>
      </c>
      <c r="B10" s="516">
        <v>0.9</v>
      </c>
    </row>
    <row r="11" spans="1:2" s="507" customFormat="1" ht="15.6">
      <c r="A11" s="539" t="s">
        <v>890</v>
      </c>
      <c r="B11" s="516">
        <v>2</v>
      </c>
    </row>
    <row r="12" spans="1:2" s="507" customFormat="1" ht="15.6">
      <c r="A12" s="538"/>
    </row>
    <row r="13" spans="1:2" s="507" customFormat="1" ht="15.6">
      <c r="A13" s="508" t="s">
        <v>891</v>
      </c>
    </row>
    <row r="14" spans="1:2" ht="15.6">
      <c r="A14" s="356" t="s">
        <v>22</v>
      </c>
    </row>
    <row r="28" spans="1:2" s="507" customFormat="1" ht="15.6">
      <c r="A28" s="509" t="s">
        <v>892</v>
      </c>
    </row>
    <row r="29" spans="1:2" s="507" customFormat="1" ht="15.6">
      <c r="A29" s="509"/>
    </row>
    <row r="30" spans="1:2" s="507" customFormat="1" ht="15.6">
      <c r="A30" s="542" t="s">
        <v>893</v>
      </c>
      <c r="B30" s="543" t="s">
        <v>894</v>
      </c>
    </row>
    <row r="31" spans="1:2" s="507" customFormat="1" ht="15.6">
      <c r="A31" s="542" t="s">
        <v>895</v>
      </c>
      <c r="B31" s="516">
        <v>60</v>
      </c>
    </row>
    <row r="32" spans="1:2" s="507" customFormat="1" ht="15.6">
      <c r="A32" s="542" t="s">
        <v>896</v>
      </c>
      <c r="B32" s="540">
        <v>0.05</v>
      </c>
    </row>
    <row r="33" spans="1:4" s="507" customFormat="1" ht="15.6">
      <c r="A33" s="542" t="s">
        <v>897</v>
      </c>
      <c r="B33" s="540">
        <v>0.01</v>
      </c>
    </row>
    <row r="34" spans="1:4" s="507" customFormat="1" ht="15.6">
      <c r="A34" s="542" t="s">
        <v>898</v>
      </c>
      <c r="B34" s="540">
        <v>0</v>
      </c>
    </row>
    <row r="35" spans="1:4" s="507" customFormat="1" ht="15.6">
      <c r="A35" s="538"/>
    </row>
    <row r="36" spans="1:4" s="507" customFormat="1" ht="16.2" thickBot="1">
      <c r="A36" s="538"/>
    </row>
    <row r="37" spans="1:4" s="507" customFormat="1" ht="16.2" thickBot="1">
      <c r="A37" s="781" t="s">
        <v>899</v>
      </c>
      <c r="B37" s="782"/>
    </row>
    <row r="38" spans="1:4" s="507" customFormat="1" ht="16.2" thickBot="1">
      <c r="A38" s="544" t="s">
        <v>191</v>
      </c>
      <c r="B38" s="545" t="s">
        <v>780</v>
      </c>
    </row>
    <row r="39" spans="1:4" s="507" customFormat="1" ht="16.2" thickBot="1">
      <c r="A39" s="544">
        <v>60</v>
      </c>
      <c r="B39" s="545">
        <v>1E-3</v>
      </c>
    </row>
    <row r="40" spans="1:4" s="507" customFormat="1" ht="16.2" thickBot="1">
      <c r="A40" s="544">
        <v>61</v>
      </c>
      <c r="B40" s="545">
        <v>1.1000000000000001E-3</v>
      </c>
    </row>
    <row r="41" spans="1:4" s="507" customFormat="1" ht="16.2" thickBot="1">
      <c r="A41" s="544">
        <v>62</v>
      </c>
      <c r="B41" s="545">
        <v>1.1999999999999999E-3</v>
      </c>
    </row>
    <row r="42" spans="1:4" s="507" customFormat="1" ht="16.2" thickBot="1">
      <c r="A42" s="538"/>
    </row>
    <row r="43" spans="1:4" s="507" customFormat="1" ht="16.8" thickTop="1" thickBot="1">
      <c r="A43" s="783" t="s">
        <v>900</v>
      </c>
      <c r="B43" s="784"/>
      <c r="C43" s="784"/>
      <c r="D43" s="785"/>
    </row>
    <row r="44" spans="1:4" s="507" customFormat="1" ht="16.8" thickTop="1" thickBot="1">
      <c r="A44" s="546"/>
      <c r="B44" s="786" t="s">
        <v>901</v>
      </c>
      <c r="C44" s="787"/>
      <c r="D44" s="788"/>
    </row>
    <row r="45" spans="1:4" s="507" customFormat="1" ht="16.8" thickTop="1" thickBot="1">
      <c r="A45" s="547" t="s">
        <v>902</v>
      </c>
      <c r="B45" s="548">
        <v>2020</v>
      </c>
      <c r="C45" s="548">
        <v>2021</v>
      </c>
      <c r="D45" s="548">
        <v>2022</v>
      </c>
    </row>
    <row r="46" spans="1:4" s="507" customFormat="1" ht="16.8" thickTop="1" thickBot="1">
      <c r="A46" s="547">
        <v>60</v>
      </c>
      <c r="B46" s="548">
        <v>2.5000000000000001E-2</v>
      </c>
      <c r="C46" s="549">
        <v>0.02</v>
      </c>
      <c r="D46" s="548">
        <v>1.4999999999999999E-2</v>
      </c>
    </row>
    <row r="47" spans="1:4" s="507" customFormat="1" ht="16.8" thickTop="1" thickBot="1">
      <c r="A47" s="547">
        <v>61</v>
      </c>
      <c r="B47" s="548">
        <v>2.4E-2</v>
      </c>
      <c r="C47" s="548">
        <v>1.9E-2</v>
      </c>
      <c r="D47" s="548">
        <v>1.4E-2</v>
      </c>
    </row>
    <row r="48" spans="1:4" s="507" customFormat="1" ht="16.8" thickTop="1" thickBot="1">
      <c r="A48" s="547">
        <v>62</v>
      </c>
      <c r="B48" s="548">
        <v>2.3E-2</v>
      </c>
      <c r="C48" s="548">
        <v>1.7999999999999999E-2</v>
      </c>
      <c r="D48" s="548">
        <v>1.2999999999999999E-2</v>
      </c>
    </row>
    <row r="49" spans="1:1" s="507" customFormat="1" ht="16.2" thickTop="1">
      <c r="A49" s="508"/>
    </row>
    <row r="50" spans="1:1" s="507" customFormat="1" ht="15.6">
      <c r="A50" s="538"/>
    </row>
    <row r="51" spans="1:1" s="507" customFormat="1" ht="15.6">
      <c r="A51" s="508" t="s">
        <v>903</v>
      </c>
    </row>
    <row r="52" spans="1:1" ht="15.6">
      <c r="A52" s="356" t="s">
        <v>22</v>
      </c>
    </row>
  </sheetData>
  <mergeCells count="3">
    <mergeCell ref="A37:B37"/>
    <mergeCell ref="A43:D43"/>
    <mergeCell ref="B44:D4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2B662-C42B-4231-997D-350330AF505F}">
  <sheetPr>
    <tabColor rgb="FFFDF1D9"/>
  </sheetPr>
  <dimension ref="A1:C16"/>
  <sheetViews>
    <sheetView workbookViewId="0">
      <selection activeCell="I5" sqref="I5"/>
    </sheetView>
  </sheetViews>
  <sheetFormatPr defaultColWidth="8.77734375" defaultRowHeight="14.4"/>
  <cols>
    <col min="1" max="1" width="14" style="328" customWidth="1"/>
    <col min="2" max="16384" width="8.77734375" style="328"/>
  </cols>
  <sheetData>
    <row r="1" spans="1:3" s="316" customFormat="1" ht="17.399999999999999">
      <c r="A1" s="315" t="s">
        <v>904</v>
      </c>
    </row>
    <row r="2" spans="1:3" s="316" customFormat="1" ht="15.6">
      <c r="A2" s="317" t="s">
        <v>542</v>
      </c>
    </row>
    <row r="3" spans="1:3" s="316" customFormat="1" ht="15.6">
      <c r="A3" s="317" t="s">
        <v>130</v>
      </c>
    </row>
    <row r="4" spans="1:3" s="507" customFormat="1"/>
    <row r="5" spans="1:3" s="507" customFormat="1" ht="15.6">
      <c r="A5" s="550" t="s">
        <v>905</v>
      </c>
    </row>
    <row r="6" spans="1:3" s="507" customFormat="1" ht="16.2" thickBot="1">
      <c r="A6" s="509"/>
    </row>
    <row r="7" spans="1:3" s="507" customFormat="1" ht="16.8" thickTop="1" thickBot="1">
      <c r="A7" s="551"/>
      <c r="B7" s="552" t="s">
        <v>906</v>
      </c>
      <c r="C7" s="552" t="s">
        <v>907</v>
      </c>
    </row>
    <row r="8" spans="1:3" s="507" customFormat="1" ht="16.8" thickTop="1" thickBot="1">
      <c r="A8" s="553" t="s">
        <v>474</v>
      </c>
      <c r="B8" s="554">
        <v>100</v>
      </c>
      <c r="C8" s="554">
        <v>50</v>
      </c>
    </row>
    <row r="9" spans="1:3" s="507" customFormat="1" ht="16.8" thickTop="1" thickBot="1">
      <c r="A9" s="553" t="s">
        <v>475</v>
      </c>
      <c r="B9" s="554">
        <v>75</v>
      </c>
      <c r="C9" s="554">
        <v>40</v>
      </c>
    </row>
    <row r="10" spans="1:3" s="507" customFormat="1" ht="16.8" thickTop="1" thickBot="1">
      <c r="A10" s="553" t="s">
        <v>476</v>
      </c>
      <c r="B10" s="554">
        <v>25</v>
      </c>
      <c r="C10" s="554">
        <v>10</v>
      </c>
    </row>
    <row r="11" spans="1:3" s="507" customFormat="1" ht="16.8" thickTop="1" thickBot="1">
      <c r="A11" s="553" t="s">
        <v>477</v>
      </c>
      <c r="B11" s="554">
        <v>10</v>
      </c>
      <c r="C11" s="554">
        <v>5</v>
      </c>
    </row>
    <row r="12" spans="1:3" s="507" customFormat="1" ht="16.2" thickTop="1">
      <c r="A12" s="555"/>
    </row>
    <row r="13" spans="1:3" s="507" customFormat="1" ht="15.6">
      <c r="A13" s="508" t="s">
        <v>908</v>
      </c>
    </row>
    <row r="14" spans="1:3" s="507" customFormat="1" ht="15.6">
      <c r="A14" s="508"/>
    </row>
    <row r="15" spans="1:3" s="507" customFormat="1" ht="15.6">
      <c r="A15" s="508" t="s">
        <v>909</v>
      </c>
    </row>
    <row r="16" spans="1:3" ht="15.6">
      <c r="A16" s="356" t="s">
        <v>22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9454D-11E2-4F50-B32C-A1891804378F}">
  <sheetPr>
    <tabColor rgb="FFFF0000"/>
  </sheetPr>
  <dimension ref="A1:E11"/>
  <sheetViews>
    <sheetView workbookViewId="0">
      <selection activeCell="K10" sqref="K10"/>
    </sheetView>
  </sheetViews>
  <sheetFormatPr defaultColWidth="8.77734375" defaultRowHeight="15.6"/>
  <cols>
    <col min="1" max="1" width="12" style="347" customWidth="1"/>
    <col min="2" max="2" width="60.44140625" style="347" customWidth="1"/>
    <col min="3" max="5" width="52.77734375" style="347" customWidth="1"/>
    <col min="6" max="16384" width="8.77734375" style="347"/>
  </cols>
  <sheetData>
    <row r="1" spans="1:5">
      <c r="A1" s="601" t="s">
        <v>966</v>
      </c>
      <c r="B1" s="601"/>
      <c r="C1" s="601"/>
    </row>
    <row r="2" spans="1:5">
      <c r="A2" s="601" t="s">
        <v>43</v>
      </c>
      <c r="B2" s="601"/>
      <c r="C2" s="601"/>
    </row>
    <row r="3" spans="1:5">
      <c r="A3" s="601" t="s">
        <v>967</v>
      </c>
      <c r="B3" s="601"/>
      <c r="C3" s="601"/>
    </row>
    <row r="4" spans="1:5">
      <c r="A4" s="601"/>
      <c r="B4" s="601"/>
      <c r="C4" s="601"/>
    </row>
    <row r="5" spans="1:5">
      <c r="A5" s="601" t="s">
        <v>968</v>
      </c>
      <c r="B5" s="601"/>
      <c r="C5" s="601"/>
    </row>
    <row r="6" spans="1:5">
      <c r="A6" s="601" t="s">
        <v>969</v>
      </c>
      <c r="B6" s="601"/>
      <c r="C6" s="601"/>
    </row>
    <row r="8" spans="1:5">
      <c r="B8" s="602"/>
      <c r="C8" s="603" t="s">
        <v>220</v>
      </c>
      <c r="D8" s="603" t="s">
        <v>970</v>
      </c>
      <c r="E8" s="603" t="s">
        <v>221</v>
      </c>
    </row>
    <row r="9" spans="1:5" ht="153.6" customHeight="1">
      <c r="B9" s="604" t="s">
        <v>971</v>
      </c>
    </row>
    <row r="10" spans="1:5" ht="102.6" customHeight="1">
      <c r="B10" s="604" t="s">
        <v>972</v>
      </c>
    </row>
    <row r="11" spans="1:5" ht="150.6" customHeight="1">
      <c r="B11" s="604" t="s">
        <v>973</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51649-B45C-40CA-B9EB-FFC8D10732A2}">
  <sheetPr>
    <tabColor rgb="FFD9E2F5"/>
  </sheetPr>
  <dimension ref="A1:L13"/>
  <sheetViews>
    <sheetView workbookViewId="0">
      <selection activeCell="K10" sqref="K10"/>
    </sheetView>
  </sheetViews>
  <sheetFormatPr defaultColWidth="8.77734375" defaultRowHeight="14.4"/>
  <cols>
    <col min="1" max="1" width="24.44140625" style="328" bestFit="1" customWidth="1"/>
    <col min="2" max="16384" width="8.77734375" style="328"/>
  </cols>
  <sheetData>
    <row r="1" spans="1:12" ht="15.6">
      <c r="A1" s="601" t="s">
        <v>966</v>
      </c>
    </row>
    <row r="2" spans="1:12" ht="15.6">
      <c r="A2" s="601" t="s">
        <v>974</v>
      </c>
    </row>
    <row r="3" spans="1:12" ht="15.6">
      <c r="A3" s="601" t="s">
        <v>975</v>
      </c>
    </row>
    <row r="4" spans="1:12" ht="15.6">
      <c r="A4" s="601"/>
    </row>
    <row r="5" spans="1:12" ht="15.6">
      <c r="A5" s="601" t="s">
        <v>968</v>
      </c>
    </row>
    <row r="6" spans="1:12" ht="15.6">
      <c r="A6" s="601" t="s">
        <v>976</v>
      </c>
    </row>
    <row r="7" spans="1:12" ht="15.6">
      <c r="A7" s="601"/>
    </row>
    <row r="8" spans="1:12">
      <c r="A8" s="605"/>
      <c r="B8" s="605"/>
      <c r="C8" s="605"/>
      <c r="D8" s="605"/>
      <c r="E8" s="605"/>
      <c r="F8" s="605"/>
      <c r="G8" s="605"/>
      <c r="H8" s="605"/>
      <c r="I8" s="605"/>
      <c r="J8" s="605"/>
      <c r="K8" s="605"/>
      <c r="L8" s="605"/>
    </row>
    <row r="9" spans="1:12">
      <c r="A9" s="606" t="s">
        <v>125</v>
      </c>
      <c r="B9" s="607">
        <v>0</v>
      </c>
      <c r="C9" s="607">
        <v>1</v>
      </c>
      <c r="D9" s="607">
        <v>2</v>
      </c>
      <c r="E9" s="607">
        <v>3</v>
      </c>
      <c r="F9" s="607">
        <v>4</v>
      </c>
      <c r="G9" s="607">
        <v>5</v>
      </c>
      <c r="H9" s="607">
        <v>6</v>
      </c>
      <c r="I9" s="607">
        <v>7</v>
      </c>
      <c r="J9" s="607">
        <v>8</v>
      </c>
      <c r="K9" s="607">
        <v>9</v>
      </c>
      <c r="L9" s="607">
        <v>10</v>
      </c>
    </row>
    <row r="10" spans="1:12">
      <c r="A10" s="606" t="s">
        <v>977</v>
      </c>
      <c r="B10" s="608">
        <v>20</v>
      </c>
      <c r="C10" s="608">
        <v>11</v>
      </c>
      <c r="D10" s="608">
        <v>2</v>
      </c>
      <c r="E10" s="608">
        <v>-7</v>
      </c>
      <c r="F10" s="608">
        <v>-3</v>
      </c>
      <c r="G10" s="608">
        <v>1</v>
      </c>
      <c r="H10" s="608">
        <v>5</v>
      </c>
      <c r="I10" s="608">
        <v>9</v>
      </c>
      <c r="J10" s="608">
        <v>13</v>
      </c>
      <c r="K10" s="608">
        <v>17</v>
      </c>
      <c r="L10" s="608">
        <v>21</v>
      </c>
    </row>
    <row r="11" spans="1:12">
      <c r="A11" s="606" t="s">
        <v>978</v>
      </c>
      <c r="B11" s="607"/>
      <c r="C11" s="609">
        <v>1.3404084948331346E-2</v>
      </c>
      <c r="D11" s="609">
        <v>6.4510021492037804E-3</v>
      </c>
      <c r="E11" s="609">
        <v>1.362612037293668E-3</v>
      </c>
      <c r="F11" s="609">
        <v>1.0318740821470919E-2</v>
      </c>
      <c r="G11" s="609">
        <v>1.0805685695175416E-2</v>
      </c>
      <c r="H11" s="609">
        <v>7.4137183317498963E-3</v>
      </c>
      <c r="I11" s="609">
        <v>5.8588685855117109E-3</v>
      </c>
      <c r="J11" s="609">
        <v>1.0498111075421219E-2</v>
      </c>
      <c r="K11" s="609">
        <v>5.7011272093794221E-3</v>
      </c>
      <c r="L11" s="609">
        <v>4.7973968193229565E-3</v>
      </c>
    </row>
    <row r="13" spans="1:12" ht="15.6">
      <c r="A13" s="347" t="s">
        <v>22</v>
      </c>
      <c r="B13" s="610"/>
      <c r="C13" s="610"/>
      <c r="D13" s="610"/>
      <c r="E13" s="610"/>
      <c r="F13" s="610"/>
      <c r="G13" s="610"/>
      <c r="H13" s="610"/>
      <c r="I13" s="610"/>
      <c r="J13" s="610"/>
      <c r="K13" s="610"/>
      <c r="L13" s="6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FB0A6-16EC-4630-9A8D-83D04384FA31}">
  <sheetPr>
    <tabColor theme="8" tint="0.79998168889431442"/>
  </sheetPr>
  <dimension ref="A1:L35"/>
  <sheetViews>
    <sheetView workbookViewId="0">
      <selection activeCell="B14" sqref="B14"/>
    </sheetView>
  </sheetViews>
  <sheetFormatPr defaultColWidth="8.77734375" defaultRowHeight="14.4"/>
  <cols>
    <col min="1" max="1" width="12.6640625" style="40" customWidth="1"/>
    <col min="2" max="2" width="27.44140625" style="40" customWidth="1"/>
    <col min="3" max="16384" width="8.77734375" style="40"/>
  </cols>
  <sheetData>
    <row r="1" spans="1:12" ht="17.399999999999999">
      <c r="A1" s="88" t="s">
        <v>69</v>
      </c>
      <c r="B1" s="89"/>
      <c r="C1" s="89"/>
      <c r="D1" s="89"/>
      <c r="E1" s="89"/>
      <c r="F1" s="89"/>
      <c r="G1" s="89"/>
      <c r="H1" s="89"/>
      <c r="I1" s="89"/>
      <c r="J1" s="89"/>
    </row>
    <row r="2" spans="1:12" ht="15.6">
      <c r="A2" s="90" t="s">
        <v>47</v>
      </c>
      <c r="B2" s="89"/>
      <c r="C2" s="89"/>
      <c r="D2" s="89"/>
      <c r="E2" s="89"/>
      <c r="F2" s="89"/>
      <c r="G2" s="89"/>
      <c r="H2" s="89"/>
      <c r="I2" s="89"/>
      <c r="J2" s="89"/>
    </row>
    <row r="3" spans="1:12" ht="15.6">
      <c r="A3" s="90" t="s">
        <v>206</v>
      </c>
      <c r="B3" s="89"/>
      <c r="C3" s="89"/>
      <c r="D3" s="89"/>
      <c r="E3" s="89"/>
      <c r="F3" s="89"/>
      <c r="G3" s="89"/>
      <c r="H3" s="89"/>
      <c r="I3" s="89"/>
      <c r="J3" s="89"/>
    </row>
    <row r="4" spans="1:12">
      <c r="A4" s="89"/>
      <c r="B4" s="89"/>
      <c r="C4" s="89"/>
      <c r="D4" s="89"/>
      <c r="E4" s="89"/>
      <c r="F4" s="89"/>
      <c r="G4" s="89"/>
      <c r="H4" s="89"/>
      <c r="I4" s="89"/>
      <c r="J4" s="89"/>
    </row>
    <row r="5" spans="1:12" ht="15.6">
      <c r="A5" s="99" t="s">
        <v>207</v>
      </c>
      <c r="B5" s="108"/>
      <c r="C5" s="108"/>
      <c r="D5" s="108"/>
      <c r="E5" s="108"/>
      <c r="F5" s="108"/>
      <c r="G5" s="108"/>
      <c r="H5" s="103"/>
      <c r="I5" s="103"/>
      <c r="J5" s="103"/>
      <c r="K5" s="58"/>
      <c r="L5" s="58"/>
    </row>
    <row r="6" spans="1:12" ht="15.6">
      <c r="A6" s="93"/>
      <c r="B6" s="108"/>
      <c r="C6" s="108"/>
      <c r="D6" s="108"/>
      <c r="E6" s="108"/>
      <c r="F6" s="108"/>
      <c r="G6" s="108"/>
      <c r="H6" s="103"/>
      <c r="I6" s="103"/>
      <c r="J6" s="103"/>
      <c r="K6" s="58"/>
      <c r="L6" s="58"/>
    </row>
    <row r="7" spans="1:12" ht="16.2" thickBot="1">
      <c r="A7" s="93"/>
      <c r="B7" s="108" t="s">
        <v>208</v>
      </c>
      <c r="C7" s="108"/>
      <c r="D7" s="108"/>
      <c r="E7" s="108"/>
      <c r="F7" s="108"/>
      <c r="G7" s="108"/>
      <c r="H7" s="103"/>
      <c r="I7" s="103"/>
      <c r="J7" s="103"/>
      <c r="K7" s="58"/>
      <c r="L7" s="58"/>
    </row>
    <row r="8" spans="1:12" ht="47.4" thickBot="1">
      <c r="A8" s="115" t="s">
        <v>192</v>
      </c>
      <c r="B8" s="116" t="s">
        <v>209</v>
      </c>
      <c r="C8" s="117"/>
      <c r="D8" s="108"/>
      <c r="E8" s="108"/>
      <c r="F8" s="108"/>
      <c r="G8" s="108"/>
      <c r="H8" s="103"/>
      <c r="I8" s="103"/>
      <c r="J8" s="103"/>
      <c r="K8" s="58"/>
      <c r="L8" s="58"/>
    </row>
    <row r="9" spans="1:12" ht="16.2" thickBot="1">
      <c r="A9" s="118">
        <v>1</v>
      </c>
      <c r="B9" s="119">
        <v>0</v>
      </c>
      <c r="C9" s="117"/>
      <c r="D9" s="108"/>
      <c r="E9" s="108"/>
      <c r="F9" s="108"/>
      <c r="G9" s="108"/>
      <c r="H9" s="103"/>
      <c r="I9" s="103"/>
      <c r="J9" s="103"/>
      <c r="K9" s="58"/>
      <c r="L9" s="58"/>
    </row>
    <row r="10" spans="1:12" ht="16.2" thickBot="1">
      <c r="A10" s="118">
        <v>2</v>
      </c>
      <c r="B10" s="120">
        <v>4445</v>
      </c>
      <c r="C10" s="117"/>
      <c r="D10" s="108"/>
      <c r="E10" s="108"/>
      <c r="F10" s="108"/>
      <c r="G10" s="108"/>
      <c r="H10" s="103"/>
      <c r="I10" s="103"/>
      <c r="J10" s="103"/>
      <c r="K10" s="58"/>
      <c r="L10" s="58"/>
    </row>
    <row r="11" spans="1:12" ht="16.2" thickBot="1">
      <c r="A11" s="118">
        <v>3</v>
      </c>
      <c r="B11" s="120">
        <v>6000</v>
      </c>
      <c r="C11" s="117"/>
      <c r="D11" s="108"/>
      <c r="E11" s="108"/>
      <c r="F11" s="108"/>
      <c r="G11" s="108"/>
      <c r="H11" s="103"/>
      <c r="I11" s="103"/>
      <c r="J11" s="103"/>
      <c r="K11" s="58"/>
      <c r="L11" s="58"/>
    </row>
    <row r="12" spans="1:12" ht="16.2" thickBot="1">
      <c r="A12" s="118">
        <v>4</v>
      </c>
      <c r="B12" s="120">
        <v>7815</v>
      </c>
      <c r="C12" s="117"/>
      <c r="D12" s="108"/>
      <c r="E12" s="108"/>
      <c r="F12" s="108"/>
      <c r="G12" s="108"/>
      <c r="H12" s="103"/>
      <c r="I12" s="103"/>
      <c r="J12" s="103"/>
      <c r="K12" s="58"/>
      <c r="L12" s="58"/>
    </row>
    <row r="13" spans="1:12" ht="16.2" thickBot="1">
      <c r="A13" s="118">
        <v>5</v>
      </c>
      <c r="B13" s="120">
        <v>9490</v>
      </c>
      <c r="C13" s="117"/>
      <c r="D13" s="108"/>
      <c r="E13" s="108"/>
      <c r="F13" s="108"/>
      <c r="G13" s="108"/>
      <c r="H13" s="103"/>
      <c r="I13" s="103"/>
      <c r="J13" s="103"/>
      <c r="K13" s="58"/>
      <c r="L13" s="58"/>
    </row>
    <row r="14" spans="1:12" ht="16.2" thickBot="1">
      <c r="A14" s="121" t="s">
        <v>210</v>
      </c>
      <c r="B14" s="119">
        <v>0</v>
      </c>
      <c r="C14" s="117"/>
      <c r="D14" s="108"/>
      <c r="E14" s="108"/>
      <c r="F14" s="108"/>
      <c r="G14" s="108"/>
      <c r="H14" s="103"/>
      <c r="I14" s="103"/>
      <c r="J14" s="103"/>
      <c r="K14" s="58"/>
      <c r="L14" s="58"/>
    </row>
    <row r="15" spans="1:12" ht="15.6">
      <c r="A15" s="122"/>
      <c r="B15" s="108"/>
      <c r="C15" s="108"/>
      <c r="D15" s="108"/>
      <c r="E15" s="108"/>
      <c r="F15" s="108"/>
      <c r="G15" s="108"/>
      <c r="H15" s="103"/>
      <c r="I15" s="103"/>
      <c r="J15" s="103"/>
      <c r="K15" s="58"/>
      <c r="L15" s="58"/>
    </row>
    <row r="16" spans="1:12" ht="15.6">
      <c r="A16" s="122"/>
      <c r="B16" s="108"/>
      <c r="C16" s="108"/>
      <c r="D16" s="108"/>
      <c r="E16" s="108"/>
      <c r="F16" s="108"/>
      <c r="G16" s="108"/>
      <c r="H16" s="103"/>
      <c r="I16" s="103"/>
      <c r="J16" s="103"/>
      <c r="K16" s="58"/>
      <c r="L16" s="58"/>
    </row>
    <row r="17" spans="1:12" ht="15.6">
      <c r="A17" s="99" t="s">
        <v>211</v>
      </c>
      <c r="B17" s="108"/>
      <c r="C17" s="108"/>
      <c r="D17" s="108"/>
      <c r="E17" s="108"/>
      <c r="F17" s="108"/>
      <c r="G17" s="108"/>
      <c r="H17" s="103"/>
      <c r="I17" s="103"/>
      <c r="J17" s="103"/>
      <c r="K17" s="58"/>
      <c r="L17" s="58"/>
    </row>
    <row r="18" spans="1:12" ht="15.6">
      <c r="A18" s="99" t="s">
        <v>34</v>
      </c>
      <c r="B18" s="100"/>
      <c r="C18" s="89"/>
      <c r="D18" s="89"/>
      <c r="E18" s="89"/>
      <c r="F18" s="89"/>
      <c r="G18" s="89"/>
      <c r="H18" s="89"/>
      <c r="I18" s="89"/>
      <c r="J18" s="89"/>
      <c r="K18" s="58"/>
      <c r="L18" s="58"/>
    </row>
    <row r="19" spans="1:12" ht="15.6">
      <c r="A19" s="99" t="s">
        <v>212</v>
      </c>
      <c r="B19" s="108"/>
      <c r="C19" s="108"/>
      <c r="D19" s="108"/>
      <c r="E19" s="108"/>
      <c r="F19" s="108"/>
      <c r="G19" s="108"/>
      <c r="H19" s="103"/>
      <c r="I19" s="103"/>
      <c r="J19" s="103"/>
      <c r="K19" s="58"/>
      <c r="L19" s="58"/>
    </row>
    <row r="20" spans="1:12" ht="15.6">
      <c r="A20" s="58" t="s">
        <v>22</v>
      </c>
    </row>
    <row r="34" spans="1:10" ht="15.6">
      <c r="A34" s="99" t="s">
        <v>213</v>
      </c>
      <c r="B34" s="100"/>
      <c r="C34" s="89"/>
      <c r="D34" s="89"/>
      <c r="E34" s="89"/>
      <c r="F34" s="89"/>
      <c r="G34" s="89"/>
      <c r="H34" s="89"/>
      <c r="I34" s="89"/>
      <c r="J34" s="89"/>
    </row>
    <row r="35" spans="1:10" ht="15.6">
      <c r="A35" s="58" t="s">
        <v>22</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4301D-5387-4FF8-B1E9-B0EC81E80580}">
  <sheetPr>
    <tabColor rgb="FFA9BDE9"/>
  </sheetPr>
  <dimension ref="A1:L21"/>
  <sheetViews>
    <sheetView workbookViewId="0">
      <selection activeCell="K10" sqref="K10"/>
    </sheetView>
  </sheetViews>
  <sheetFormatPr defaultColWidth="8.77734375" defaultRowHeight="14.4"/>
  <cols>
    <col min="1" max="1" width="37.77734375" style="328" customWidth="1"/>
    <col min="2" max="16384" width="8.77734375" style="328"/>
  </cols>
  <sheetData>
    <row r="1" spans="1:12" ht="15.6">
      <c r="A1" s="601" t="s">
        <v>976</v>
      </c>
    </row>
    <row r="2" spans="1:12" ht="15.6">
      <c r="A2" s="601"/>
    </row>
    <row r="3" spans="1:12">
      <c r="A3" s="605"/>
      <c r="B3" s="605"/>
      <c r="C3" s="605"/>
      <c r="D3" s="605"/>
      <c r="E3" s="605"/>
      <c r="F3" s="605"/>
      <c r="G3" s="605"/>
      <c r="H3" s="605"/>
      <c r="I3" s="605"/>
      <c r="J3" s="605"/>
      <c r="K3" s="605"/>
      <c r="L3" s="605"/>
    </row>
    <row r="4" spans="1:12">
      <c r="A4" s="606" t="s">
        <v>125</v>
      </c>
      <c r="B4" s="607">
        <v>0</v>
      </c>
      <c r="C4" s="607">
        <v>1</v>
      </c>
      <c r="D4" s="607">
        <v>2</v>
      </c>
      <c r="E4" s="607">
        <v>3</v>
      </c>
      <c r="F4" s="607">
        <v>4</v>
      </c>
      <c r="G4" s="607">
        <v>5</v>
      </c>
      <c r="H4" s="607">
        <v>6</v>
      </c>
      <c r="I4" s="607">
        <v>7</v>
      </c>
      <c r="J4" s="607">
        <v>8</v>
      </c>
      <c r="K4" s="607">
        <v>9</v>
      </c>
      <c r="L4" s="607">
        <v>10</v>
      </c>
    </row>
    <row r="5" spans="1:12">
      <c r="A5" s="606" t="s">
        <v>977</v>
      </c>
      <c r="B5" s="608">
        <v>20</v>
      </c>
      <c r="C5" s="608">
        <v>11</v>
      </c>
      <c r="D5" s="608">
        <v>2</v>
      </c>
      <c r="E5" s="608">
        <v>-7</v>
      </c>
      <c r="F5" s="608">
        <v>-3</v>
      </c>
      <c r="G5" s="608">
        <v>1</v>
      </c>
      <c r="H5" s="608">
        <v>5</v>
      </c>
      <c r="I5" s="608">
        <v>9</v>
      </c>
      <c r="J5" s="608">
        <v>13</v>
      </c>
      <c r="K5" s="608">
        <v>17</v>
      </c>
      <c r="L5" s="608">
        <v>21</v>
      </c>
    </row>
    <row r="6" spans="1:12">
      <c r="A6" s="606" t="s">
        <v>978</v>
      </c>
      <c r="B6" s="607"/>
      <c r="C6" s="609">
        <v>1.3404084948331346E-2</v>
      </c>
      <c r="D6" s="609">
        <v>6.4510021492037804E-3</v>
      </c>
      <c r="E6" s="609">
        <v>1.362612037293668E-3</v>
      </c>
      <c r="F6" s="609">
        <v>1.0318740821470919E-2</v>
      </c>
      <c r="G6" s="609">
        <v>1.0805685695175416E-2</v>
      </c>
      <c r="H6" s="609">
        <v>7.4137183317498963E-3</v>
      </c>
      <c r="I6" s="609">
        <v>5.8588685855117109E-3</v>
      </c>
      <c r="J6" s="609">
        <v>1.0498111075421219E-2</v>
      </c>
      <c r="K6" s="609">
        <v>5.7011272093794221E-3</v>
      </c>
      <c r="L6" s="609">
        <v>4.7973968193229565E-3</v>
      </c>
    </row>
    <row r="7" spans="1:12">
      <c r="A7" s="446"/>
      <c r="B7" s="661"/>
      <c r="C7" s="661"/>
      <c r="D7" s="661"/>
      <c r="E7" s="661"/>
      <c r="F7" s="661"/>
      <c r="G7" s="661"/>
      <c r="H7" s="661"/>
      <c r="I7" s="661"/>
      <c r="J7" s="661"/>
      <c r="K7" s="661"/>
      <c r="L7" s="661"/>
    </row>
    <row r="8" spans="1:12">
      <c r="A8" s="446"/>
      <c r="B8" s="661"/>
      <c r="C8" s="661"/>
      <c r="D8" s="661"/>
      <c r="E8" s="661"/>
      <c r="F8" s="661"/>
      <c r="G8" s="661"/>
      <c r="H8" s="661"/>
      <c r="I8" s="661"/>
      <c r="J8" s="661"/>
      <c r="K8" s="661"/>
      <c r="L8" s="661"/>
    </row>
    <row r="9" spans="1:12">
      <c r="A9" s="481" t="s">
        <v>1092</v>
      </c>
      <c r="B9" s="661"/>
      <c r="C9" s="661"/>
      <c r="D9" s="661"/>
      <c r="E9" s="661"/>
      <c r="F9" s="661"/>
      <c r="G9" s="661"/>
      <c r="H9" s="661"/>
      <c r="I9" s="661"/>
      <c r="J9" s="661"/>
      <c r="K9" s="661"/>
      <c r="L9" s="661"/>
    </row>
    <row r="12" spans="1:12">
      <c r="A12" s="446" t="s">
        <v>125</v>
      </c>
      <c r="B12" s="446">
        <v>0</v>
      </c>
      <c r="C12" s="446">
        <v>1</v>
      </c>
      <c r="D12" s="446">
        <v>2</v>
      </c>
      <c r="E12" s="446">
        <v>3</v>
      </c>
      <c r="F12" s="446">
        <v>4</v>
      </c>
      <c r="G12" s="446">
        <v>5</v>
      </c>
      <c r="H12" s="446">
        <v>6</v>
      </c>
      <c r="I12" s="446">
        <v>7</v>
      </c>
      <c r="J12" s="446">
        <v>8</v>
      </c>
      <c r="K12" s="446">
        <v>9</v>
      </c>
      <c r="L12" s="446">
        <v>10</v>
      </c>
    </row>
    <row r="13" spans="1:12">
      <c r="A13" s="446" t="s">
        <v>1093</v>
      </c>
      <c r="B13" s="662">
        <f t="shared" ref="B13:L13" si="0">B5</f>
        <v>20</v>
      </c>
      <c r="C13" s="662">
        <f t="shared" si="0"/>
        <v>11</v>
      </c>
      <c r="D13" s="662">
        <f t="shared" si="0"/>
        <v>2</v>
      </c>
      <c r="E13" s="662">
        <f t="shared" si="0"/>
        <v>-7</v>
      </c>
      <c r="F13" s="662">
        <f t="shared" si="0"/>
        <v>-3</v>
      </c>
      <c r="G13" s="662">
        <f t="shared" si="0"/>
        <v>1</v>
      </c>
      <c r="H13" s="662">
        <f t="shared" si="0"/>
        <v>5</v>
      </c>
      <c r="I13" s="662">
        <f t="shared" si="0"/>
        <v>9</v>
      </c>
      <c r="J13" s="662">
        <f t="shared" si="0"/>
        <v>13</v>
      </c>
      <c r="K13" s="662">
        <f t="shared" si="0"/>
        <v>17</v>
      </c>
      <c r="L13" s="662">
        <f t="shared" si="0"/>
        <v>21</v>
      </c>
    </row>
    <row r="14" spans="1:12">
      <c r="A14" s="446" t="s">
        <v>1094</v>
      </c>
      <c r="B14" s="662">
        <f>B13*-1</f>
        <v>-20</v>
      </c>
      <c r="C14" s="662">
        <f t="shared" ref="C14:I14" si="1">C13*-1</f>
        <v>-11</v>
      </c>
      <c r="D14" s="662">
        <f t="shared" si="1"/>
        <v>-2</v>
      </c>
      <c r="E14" s="662">
        <f t="shared" si="1"/>
        <v>7</v>
      </c>
      <c r="F14" s="662">
        <f t="shared" si="1"/>
        <v>3</v>
      </c>
      <c r="G14" s="662">
        <f t="shared" si="1"/>
        <v>-1</v>
      </c>
      <c r="H14" s="662">
        <f t="shared" si="1"/>
        <v>-5</v>
      </c>
      <c r="I14" s="662">
        <f t="shared" si="1"/>
        <v>-9</v>
      </c>
      <c r="J14" s="662">
        <f>J13*-1</f>
        <v>-13</v>
      </c>
      <c r="K14" s="662">
        <f>K13*-1</f>
        <v>-17</v>
      </c>
      <c r="L14" s="662">
        <f>L13*-1</f>
        <v>-21</v>
      </c>
    </row>
    <row r="15" spans="1:12">
      <c r="A15" s="446" t="s">
        <v>1095</v>
      </c>
      <c r="B15" s="446"/>
      <c r="C15" s="663">
        <f t="shared" ref="C15:L15" si="2">C6</f>
        <v>1.3404084948331346E-2</v>
      </c>
      <c r="D15" s="663">
        <f t="shared" si="2"/>
        <v>6.4510021492037804E-3</v>
      </c>
      <c r="E15" s="663">
        <f t="shared" si="2"/>
        <v>1.362612037293668E-3</v>
      </c>
      <c r="F15" s="663">
        <f t="shared" si="2"/>
        <v>1.0318740821470919E-2</v>
      </c>
      <c r="G15" s="663">
        <f t="shared" si="2"/>
        <v>1.0805685695175416E-2</v>
      </c>
      <c r="H15" s="663">
        <f t="shared" si="2"/>
        <v>7.4137183317498963E-3</v>
      </c>
      <c r="I15" s="663">
        <f t="shared" si="2"/>
        <v>5.8588685855117109E-3</v>
      </c>
      <c r="J15" s="663">
        <f t="shared" si="2"/>
        <v>1.0498111075421219E-2</v>
      </c>
      <c r="K15" s="663">
        <f t="shared" si="2"/>
        <v>5.7011272093794221E-3</v>
      </c>
      <c r="L15" s="663">
        <f t="shared" si="2"/>
        <v>4.7973968193229565E-3</v>
      </c>
    </row>
    <row r="16" spans="1:12">
      <c r="A16" s="446" t="s">
        <v>1096</v>
      </c>
      <c r="B16" s="663">
        <v>1.05</v>
      </c>
      <c r="C16" s="663">
        <f>$B$16*C15</f>
        <v>1.4074289195747913E-2</v>
      </c>
      <c r="D16" s="663">
        <f t="shared" ref="D16:L16" si="3">$B$16*D15</f>
        <v>6.77355225666397E-3</v>
      </c>
      <c r="E16" s="663">
        <f t="shared" si="3"/>
        <v>1.4307426391583515E-3</v>
      </c>
      <c r="F16" s="663">
        <f t="shared" si="3"/>
        <v>1.0834677862544466E-2</v>
      </c>
      <c r="G16" s="663">
        <f t="shared" si="3"/>
        <v>1.1345969979934187E-2</v>
      </c>
      <c r="H16" s="663">
        <f t="shared" si="3"/>
        <v>7.7844042483373914E-3</v>
      </c>
      <c r="I16" s="663">
        <f t="shared" si="3"/>
        <v>6.1518120147872968E-3</v>
      </c>
      <c r="J16" s="663">
        <f t="shared" si="3"/>
        <v>1.102301662919228E-2</v>
      </c>
      <c r="K16" s="663">
        <f t="shared" si="3"/>
        <v>5.9861835698483933E-3</v>
      </c>
      <c r="L16" s="663">
        <f t="shared" si="3"/>
        <v>5.0372666602891041E-3</v>
      </c>
    </row>
    <row r="17" spans="1:12">
      <c r="A17" s="446" t="s">
        <v>1097</v>
      </c>
      <c r="B17" s="664">
        <v>1</v>
      </c>
      <c r="C17" s="664">
        <f>1/(1+C16)</f>
        <v>0.98612104719969762</v>
      </c>
      <c r="D17" s="664">
        <f t="shared" ref="D17:L17" si="4">1/(1+D16)</f>
        <v>0.99327202006699411</v>
      </c>
      <c r="E17" s="664">
        <f t="shared" si="4"/>
        <v>0.99857130146076012</v>
      </c>
      <c r="F17" s="664">
        <f t="shared" si="4"/>
        <v>0.98928145412912127</v>
      </c>
      <c r="G17" s="664">
        <f t="shared" si="4"/>
        <v>0.9887813168621622</v>
      </c>
      <c r="H17" s="664">
        <f t="shared" si="4"/>
        <v>0.99227572463363978</v>
      </c>
      <c r="I17" s="664">
        <f t="shared" si="4"/>
        <v>0.99388580138570903</v>
      </c>
      <c r="J17" s="664">
        <f t="shared" si="4"/>
        <v>0.98909716549684135</v>
      </c>
      <c r="K17" s="664">
        <f t="shared" si="4"/>
        <v>0.99404943758908704</v>
      </c>
      <c r="L17" s="664">
        <f t="shared" si="4"/>
        <v>0.99498798021985013</v>
      </c>
    </row>
    <row r="18" spans="1:12">
      <c r="A18" s="665" t="s">
        <v>1098</v>
      </c>
      <c r="B18" s="664">
        <v>1</v>
      </c>
      <c r="C18" s="664">
        <f>C17*B18</f>
        <v>0.98612104719969762</v>
      </c>
      <c r="D18" s="664">
        <f t="shared" ref="D18:L18" si="5">D17*C18</f>
        <v>0.97948644458262335</v>
      </c>
      <c r="E18" s="664">
        <f t="shared" si="5"/>
        <v>0.9780870537300429</v>
      </c>
      <c r="F18" s="664">
        <f t="shared" si="5"/>
        <v>0.96760338277892477</v>
      </c>
      <c r="G18" s="664">
        <f t="shared" si="5"/>
        <v>0.95674814702442801</v>
      </c>
      <c r="H18" s="664">
        <f t="shared" si="5"/>
        <v>0.94935796088055646</v>
      </c>
      <c r="I18" s="664">
        <f t="shared" si="5"/>
        <v>0.94355339775167446</v>
      </c>
      <c r="J18" s="664">
        <f t="shared" si="5"/>
        <v>0.93326599121109488</v>
      </c>
      <c r="K18" s="664">
        <f t="shared" si="5"/>
        <v>0.92771253368441076</v>
      </c>
      <c r="L18" s="664">
        <f t="shared" si="5"/>
        <v>0.9230628201152915</v>
      </c>
    </row>
    <row r="19" spans="1:12" ht="27">
      <c r="A19" s="665" t="s">
        <v>1099</v>
      </c>
      <c r="B19" s="666"/>
      <c r="C19" s="667">
        <f>C18*C14</f>
        <v>-10.847331519196674</v>
      </c>
      <c r="D19" s="667">
        <f t="shared" ref="D19:L19" si="6">D18*D14</f>
        <v>-1.9589728891652467</v>
      </c>
      <c r="E19" s="667">
        <f t="shared" si="6"/>
        <v>6.8466093761103002</v>
      </c>
      <c r="F19" s="667">
        <f t="shared" si="6"/>
        <v>2.9028101483367745</v>
      </c>
      <c r="G19" s="667">
        <f t="shared" si="6"/>
        <v>-0.95674814702442801</v>
      </c>
      <c r="H19" s="667">
        <f t="shared" si="6"/>
        <v>-4.7467898044027823</v>
      </c>
      <c r="I19" s="667">
        <f t="shared" si="6"/>
        <v>-8.4919805797650696</v>
      </c>
      <c r="J19" s="667">
        <f t="shared" si="6"/>
        <v>-12.132457885744234</v>
      </c>
      <c r="K19" s="667">
        <f t="shared" si="6"/>
        <v>-15.771113072634982</v>
      </c>
      <c r="L19" s="667">
        <f t="shared" si="6"/>
        <v>-19.384319222421123</v>
      </c>
    </row>
    <row r="20" spans="1:12" ht="15" thickBot="1">
      <c r="A20" s="446" t="s">
        <v>1100</v>
      </c>
      <c r="B20" s="668">
        <f>MAX(C19:L19)</f>
        <v>6.8466093761103002</v>
      </c>
      <c r="C20" s="666"/>
      <c r="D20" s="666"/>
      <c r="E20" s="666"/>
      <c r="F20" s="666"/>
      <c r="G20" s="666"/>
      <c r="H20" s="666"/>
      <c r="I20" s="666"/>
      <c r="J20" s="666"/>
      <c r="K20" s="666"/>
      <c r="L20" s="666"/>
    </row>
    <row r="21" spans="1:12" ht="15" thickBot="1">
      <c r="A21" s="446" t="s">
        <v>1101</v>
      </c>
      <c r="B21" s="669">
        <f>B20+B13</f>
        <v>26.846609376110301</v>
      </c>
      <c r="C21" s="666"/>
      <c r="D21" s="666"/>
      <c r="E21" s="666"/>
      <c r="F21" s="666"/>
      <c r="G21" s="666"/>
      <c r="H21" s="666"/>
      <c r="I21" s="666"/>
      <c r="J21" s="666"/>
      <c r="K21" s="666"/>
      <c r="L21" s="666"/>
    </row>
  </sheetData>
  <pageMargins left="0.7" right="0.7" top="0.75" bottom="0.75" header="0.3" footer="0.3"/>
  <pageSetup orientation="portrait" r:id="rId1"/>
  <headerFooter>
    <oddFooter>&amp;C_x000D_&amp;1#&amp;"Calibri"&amp;10&amp;K000000 CONFIDENTIAL</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55B2-ABC3-4550-ADCF-3D61B583C3FC}">
  <sheetPr>
    <tabColor rgb="FFD9E2F5"/>
  </sheetPr>
  <dimension ref="A1:B31"/>
  <sheetViews>
    <sheetView workbookViewId="0">
      <selection activeCell="K10" sqref="K10"/>
    </sheetView>
  </sheetViews>
  <sheetFormatPr defaultColWidth="8.77734375" defaultRowHeight="15.6"/>
  <cols>
    <col min="1" max="1" width="86.77734375" style="347" bestFit="1" customWidth="1"/>
    <col min="2" max="16384" width="8.77734375" style="347"/>
  </cols>
  <sheetData>
    <row r="1" spans="1:2">
      <c r="A1" s="601" t="s">
        <v>25</v>
      </c>
    </row>
    <row r="2" spans="1:2">
      <c r="A2" s="601" t="s">
        <v>979</v>
      </c>
    </row>
    <row r="3" spans="1:2">
      <c r="A3" s="601" t="s">
        <v>980</v>
      </c>
    </row>
    <row r="4" spans="1:2">
      <c r="A4" s="601"/>
    </row>
    <row r="5" spans="1:2">
      <c r="A5" s="601" t="s">
        <v>981</v>
      </c>
    </row>
    <row r="6" spans="1:2">
      <c r="A6" s="601" t="s">
        <v>982</v>
      </c>
    </row>
    <row r="7" spans="1:2">
      <c r="A7" s="601" t="s">
        <v>983</v>
      </c>
    </row>
    <row r="8" spans="1:2" ht="16.2" thickBot="1"/>
    <row r="9" spans="1:2" ht="16.2" thickBot="1">
      <c r="A9" s="611" t="s">
        <v>984</v>
      </c>
      <c r="B9" s="612">
        <v>0.05</v>
      </c>
    </row>
    <row r="10" spans="1:2" ht="16.2" thickBot="1">
      <c r="A10" s="613" t="s">
        <v>985</v>
      </c>
      <c r="B10" s="614">
        <v>4.0000000000000001E-3</v>
      </c>
    </row>
    <row r="11" spans="1:2" ht="16.2" thickBot="1">
      <c r="A11" s="613" t="s">
        <v>986</v>
      </c>
      <c r="B11" s="614">
        <v>7.0000000000000001E-3</v>
      </c>
    </row>
    <row r="12" spans="1:2" ht="16.2" thickBot="1">
      <c r="A12" s="613" t="s">
        <v>987</v>
      </c>
      <c r="B12" s="614">
        <v>5.3999999999999999E-2</v>
      </c>
    </row>
    <row r="13" spans="1:2" ht="16.2" thickBot="1">
      <c r="A13" s="613" t="s">
        <v>988</v>
      </c>
      <c r="B13" s="614">
        <v>5.0000000000000001E-3</v>
      </c>
    </row>
    <row r="14" spans="1:2" ht="16.2" thickBot="1">
      <c r="A14" s="613" t="s">
        <v>989</v>
      </c>
      <c r="B14" s="614">
        <v>5.2999999999999999E-2</v>
      </c>
    </row>
    <row r="15" spans="1:2" ht="16.2" thickBot="1">
      <c r="A15" s="613" t="s">
        <v>990</v>
      </c>
      <c r="B15" s="614">
        <v>0.06</v>
      </c>
    </row>
    <row r="17" spans="1:1">
      <c r="A17" s="421" t="s">
        <v>991</v>
      </c>
    </row>
    <row r="19" spans="1:1">
      <c r="A19" s="601" t="s">
        <v>992</v>
      </c>
    </row>
    <row r="20" spans="1:1">
      <c r="A20" s="347" t="s">
        <v>22</v>
      </c>
    </row>
    <row r="30" spans="1:1">
      <c r="A30" s="601" t="s">
        <v>993</v>
      </c>
    </row>
    <row r="31" spans="1:1">
      <c r="A31" s="347" t="s">
        <v>22</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018B7-04B3-463E-AB81-CB542BE70B24}">
  <sheetPr>
    <tabColor rgb="FFD9E2F5"/>
  </sheetPr>
  <dimension ref="A1:Q23"/>
  <sheetViews>
    <sheetView workbookViewId="0">
      <selection activeCell="K10" sqref="K10"/>
    </sheetView>
  </sheetViews>
  <sheetFormatPr defaultColWidth="8.77734375" defaultRowHeight="15.6"/>
  <cols>
    <col min="1" max="1" width="49.5546875" style="347" customWidth="1"/>
    <col min="2" max="16384" width="8.77734375" style="347"/>
  </cols>
  <sheetData>
    <row r="1" spans="1:17">
      <c r="A1" s="601" t="s">
        <v>994</v>
      </c>
    </row>
    <row r="2" spans="1:17">
      <c r="A2" s="601" t="s">
        <v>995</v>
      </c>
    </row>
    <row r="3" spans="1:17">
      <c r="A3" s="601" t="s">
        <v>334</v>
      </c>
    </row>
    <row r="5" spans="1:17">
      <c r="A5" s="601" t="s">
        <v>996</v>
      </c>
    </row>
    <row r="6" spans="1:17">
      <c r="A6" s="601" t="s">
        <v>997</v>
      </c>
    </row>
    <row r="7" spans="1:17">
      <c r="A7" s="601" t="s">
        <v>998</v>
      </c>
    </row>
    <row r="8" spans="1:17">
      <c r="A8" s="601" t="s">
        <v>999</v>
      </c>
    </row>
    <row r="10" spans="1:17">
      <c r="A10" s="603" t="s">
        <v>1000</v>
      </c>
      <c r="B10" s="615">
        <v>0.06</v>
      </c>
    </row>
    <row r="11" spans="1:17">
      <c r="A11" s="603" t="s">
        <v>1001</v>
      </c>
      <c r="B11" s="615">
        <v>0.1</v>
      </c>
    </row>
    <row r="12" spans="1:17">
      <c r="A12" s="603" t="s">
        <v>59</v>
      </c>
      <c r="B12" s="615">
        <v>0.05</v>
      </c>
    </row>
    <row r="14" spans="1:17">
      <c r="A14" s="601" t="s">
        <v>1002</v>
      </c>
    </row>
    <row r="16" spans="1:17">
      <c r="A16" s="616" t="s">
        <v>641</v>
      </c>
      <c r="B16" s="617">
        <v>0.25</v>
      </c>
      <c r="C16" s="617">
        <f t="shared" ref="C16:Q16" si="0">B16+0.25</f>
        <v>0.5</v>
      </c>
      <c r="D16" s="617">
        <f t="shared" si="0"/>
        <v>0.75</v>
      </c>
      <c r="E16" s="617">
        <f t="shared" si="0"/>
        <v>1</v>
      </c>
      <c r="F16" s="617">
        <f t="shared" si="0"/>
        <v>1.25</v>
      </c>
      <c r="G16" s="617">
        <f t="shared" si="0"/>
        <v>1.5</v>
      </c>
      <c r="H16" s="617">
        <f t="shared" si="0"/>
        <v>1.75</v>
      </c>
      <c r="I16" s="617">
        <f t="shared" si="0"/>
        <v>2</v>
      </c>
      <c r="J16" s="617">
        <f t="shared" si="0"/>
        <v>2.25</v>
      </c>
      <c r="K16" s="617">
        <f t="shared" si="0"/>
        <v>2.5</v>
      </c>
      <c r="L16" s="617">
        <f t="shared" si="0"/>
        <v>2.75</v>
      </c>
      <c r="M16" s="617">
        <f t="shared" si="0"/>
        <v>3</v>
      </c>
      <c r="N16" s="617">
        <f t="shared" si="0"/>
        <v>3.25</v>
      </c>
      <c r="O16" s="617">
        <f t="shared" si="0"/>
        <v>3.5</v>
      </c>
      <c r="P16" s="617">
        <f t="shared" si="0"/>
        <v>3.75</v>
      </c>
      <c r="Q16" s="617">
        <f t="shared" si="0"/>
        <v>4</v>
      </c>
    </row>
    <row r="17" spans="1:17">
      <c r="A17" s="616" t="s">
        <v>1003</v>
      </c>
      <c r="B17" s="617">
        <v>100</v>
      </c>
      <c r="C17" s="617">
        <v>90</v>
      </c>
      <c r="D17" s="617">
        <v>110</v>
      </c>
      <c r="E17" s="617">
        <v>95</v>
      </c>
      <c r="F17" s="617">
        <v>130</v>
      </c>
      <c r="G17" s="617">
        <v>115</v>
      </c>
      <c r="H17" s="617">
        <v>125</v>
      </c>
      <c r="I17" s="617">
        <v>130</v>
      </c>
      <c r="J17" s="617">
        <v>175</v>
      </c>
      <c r="K17" s="617">
        <f>150</f>
        <v>150</v>
      </c>
      <c r="L17" s="617">
        <v>130</v>
      </c>
      <c r="M17" s="617">
        <v>140</v>
      </c>
      <c r="N17" s="617">
        <v>155</v>
      </c>
      <c r="O17" s="617">
        <v>170</v>
      </c>
      <c r="P17" s="617">
        <v>165</v>
      </c>
      <c r="Q17" s="617">
        <v>160</v>
      </c>
    </row>
    <row r="18" spans="1:17">
      <c r="A18" s="618" t="s">
        <v>1004</v>
      </c>
      <c r="B18" s="619">
        <f>B17*80%</f>
        <v>80</v>
      </c>
      <c r="C18" s="619">
        <f t="shared" ref="C18:Q18" si="1">C17*80%</f>
        <v>72</v>
      </c>
      <c r="D18" s="619">
        <f t="shared" si="1"/>
        <v>88</v>
      </c>
      <c r="E18" s="619">
        <f t="shared" si="1"/>
        <v>76</v>
      </c>
      <c r="F18" s="619">
        <f t="shared" si="1"/>
        <v>104</v>
      </c>
      <c r="G18" s="619">
        <f t="shared" si="1"/>
        <v>92</v>
      </c>
      <c r="H18" s="619">
        <f t="shared" si="1"/>
        <v>100</v>
      </c>
      <c r="I18" s="619">
        <f t="shared" si="1"/>
        <v>104</v>
      </c>
      <c r="J18" s="619">
        <f t="shared" si="1"/>
        <v>140</v>
      </c>
      <c r="K18" s="619">
        <f t="shared" si="1"/>
        <v>120</v>
      </c>
      <c r="L18" s="619">
        <f t="shared" si="1"/>
        <v>104</v>
      </c>
      <c r="M18" s="619">
        <f t="shared" si="1"/>
        <v>112</v>
      </c>
      <c r="N18" s="619">
        <f t="shared" si="1"/>
        <v>124</v>
      </c>
      <c r="O18" s="619">
        <f t="shared" si="1"/>
        <v>136</v>
      </c>
      <c r="P18" s="619">
        <f t="shared" si="1"/>
        <v>132</v>
      </c>
      <c r="Q18" s="619">
        <f t="shared" si="1"/>
        <v>128</v>
      </c>
    </row>
    <row r="19" spans="1:17">
      <c r="A19" s="616" t="s">
        <v>105</v>
      </c>
      <c r="B19" s="617">
        <f>B17+B18</f>
        <v>180</v>
      </c>
      <c r="C19" s="617">
        <f t="shared" ref="C19:Q19" si="2">C17+C18</f>
        <v>162</v>
      </c>
      <c r="D19" s="617">
        <f t="shared" si="2"/>
        <v>198</v>
      </c>
      <c r="E19" s="617">
        <f t="shared" si="2"/>
        <v>171</v>
      </c>
      <c r="F19" s="617">
        <f t="shared" si="2"/>
        <v>234</v>
      </c>
      <c r="G19" s="617">
        <f t="shared" si="2"/>
        <v>207</v>
      </c>
      <c r="H19" s="617">
        <f t="shared" si="2"/>
        <v>225</v>
      </c>
      <c r="I19" s="617">
        <f t="shared" si="2"/>
        <v>234</v>
      </c>
      <c r="J19" s="617">
        <f t="shared" si="2"/>
        <v>315</v>
      </c>
      <c r="K19" s="617">
        <f t="shared" si="2"/>
        <v>270</v>
      </c>
      <c r="L19" s="617">
        <f t="shared" si="2"/>
        <v>234</v>
      </c>
      <c r="M19" s="617">
        <f t="shared" si="2"/>
        <v>252</v>
      </c>
      <c r="N19" s="617">
        <f t="shared" si="2"/>
        <v>279</v>
      </c>
      <c r="O19" s="617">
        <f t="shared" si="2"/>
        <v>306</v>
      </c>
      <c r="P19" s="617">
        <f t="shared" si="2"/>
        <v>297</v>
      </c>
      <c r="Q19" s="617">
        <f t="shared" si="2"/>
        <v>288</v>
      </c>
    </row>
    <row r="22" spans="1:17" ht="16.2">
      <c r="A22" s="601" t="s">
        <v>1005</v>
      </c>
    </row>
    <row r="23" spans="1:17">
      <c r="A23" s="347" t="s">
        <v>22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FFDA-B25D-4568-840F-C9E04D655BD8}">
  <sheetPr>
    <tabColor rgb="FFA9BDE9"/>
  </sheetPr>
  <dimension ref="A1:Q34"/>
  <sheetViews>
    <sheetView workbookViewId="0">
      <selection activeCell="K10" sqref="K10"/>
    </sheetView>
  </sheetViews>
  <sheetFormatPr defaultColWidth="8.77734375" defaultRowHeight="15.6"/>
  <cols>
    <col min="1" max="1" width="49.5546875" style="347" customWidth="1"/>
    <col min="2" max="16384" width="8.77734375" style="347"/>
  </cols>
  <sheetData>
    <row r="1" spans="1:17">
      <c r="A1" s="601" t="s">
        <v>1102</v>
      </c>
    </row>
    <row r="2" spans="1:17">
      <c r="A2" s="601" t="s">
        <v>1103</v>
      </c>
    </row>
    <row r="3" spans="1:17">
      <c r="A3" s="601" t="s">
        <v>997</v>
      </c>
    </row>
    <row r="4" spans="1:17">
      <c r="A4" s="601" t="s">
        <v>998</v>
      </c>
    </row>
    <row r="5" spans="1:17">
      <c r="A5" s="601" t="s">
        <v>999</v>
      </c>
    </row>
    <row r="7" spans="1:17">
      <c r="A7" s="603" t="s">
        <v>1000</v>
      </c>
      <c r="B7" s="615">
        <v>0.06</v>
      </c>
    </row>
    <row r="8" spans="1:17">
      <c r="A8" s="603" t="s">
        <v>1001</v>
      </c>
      <c r="B8" s="615">
        <v>0.1</v>
      </c>
    </row>
    <row r="9" spans="1:17">
      <c r="A9" s="603" t="s">
        <v>59</v>
      </c>
      <c r="B9" s="615">
        <v>0.05</v>
      </c>
    </row>
    <row r="11" spans="1:17">
      <c r="A11" s="601" t="s">
        <v>1002</v>
      </c>
    </row>
    <row r="13" spans="1:17">
      <c r="A13" s="616" t="s">
        <v>641</v>
      </c>
      <c r="B13" s="617">
        <v>0.25</v>
      </c>
      <c r="C13" s="617">
        <f t="shared" ref="C13:Q13" si="0">B13+0.25</f>
        <v>0.5</v>
      </c>
      <c r="D13" s="617">
        <f t="shared" si="0"/>
        <v>0.75</v>
      </c>
      <c r="E13" s="617">
        <f t="shared" si="0"/>
        <v>1</v>
      </c>
      <c r="F13" s="617">
        <f t="shared" si="0"/>
        <v>1.25</v>
      </c>
      <c r="G13" s="617">
        <f t="shared" si="0"/>
        <v>1.5</v>
      </c>
      <c r="H13" s="617">
        <f t="shared" si="0"/>
        <v>1.75</v>
      </c>
      <c r="I13" s="617">
        <f t="shared" si="0"/>
        <v>2</v>
      </c>
      <c r="J13" s="617">
        <f t="shared" si="0"/>
        <v>2.25</v>
      </c>
      <c r="K13" s="617">
        <f t="shared" si="0"/>
        <v>2.5</v>
      </c>
      <c r="L13" s="617">
        <f t="shared" si="0"/>
        <v>2.75</v>
      </c>
      <c r="M13" s="617">
        <f t="shared" si="0"/>
        <v>3</v>
      </c>
      <c r="N13" s="617">
        <f t="shared" si="0"/>
        <v>3.25</v>
      </c>
      <c r="O13" s="617">
        <f t="shared" si="0"/>
        <v>3.5</v>
      </c>
      <c r="P13" s="617">
        <f t="shared" si="0"/>
        <v>3.75</v>
      </c>
      <c r="Q13" s="617">
        <f t="shared" si="0"/>
        <v>4</v>
      </c>
    </row>
    <row r="14" spans="1:17">
      <c r="A14" s="616" t="s">
        <v>1003</v>
      </c>
      <c r="B14" s="617">
        <v>100</v>
      </c>
      <c r="C14" s="617">
        <v>90</v>
      </c>
      <c r="D14" s="617">
        <v>110</v>
      </c>
      <c r="E14" s="617">
        <v>95</v>
      </c>
      <c r="F14" s="617">
        <v>130</v>
      </c>
      <c r="G14" s="617">
        <v>115</v>
      </c>
      <c r="H14" s="617">
        <v>125</v>
      </c>
      <c r="I14" s="617">
        <v>130</v>
      </c>
      <c r="J14" s="617">
        <v>175</v>
      </c>
      <c r="K14" s="617">
        <f>150</f>
        <v>150</v>
      </c>
      <c r="L14" s="617">
        <v>130</v>
      </c>
      <c r="M14" s="617">
        <v>140</v>
      </c>
      <c r="N14" s="617">
        <v>155</v>
      </c>
      <c r="O14" s="617">
        <v>170</v>
      </c>
      <c r="P14" s="617">
        <v>165</v>
      </c>
      <c r="Q14" s="617">
        <v>160</v>
      </c>
    </row>
    <row r="15" spans="1:17">
      <c r="A15" s="618" t="s">
        <v>1004</v>
      </c>
      <c r="B15" s="619">
        <f t="shared" ref="B15:Q15" si="1">B14*80%</f>
        <v>80</v>
      </c>
      <c r="C15" s="619">
        <f t="shared" si="1"/>
        <v>72</v>
      </c>
      <c r="D15" s="619">
        <f t="shared" si="1"/>
        <v>88</v>
      </c>
      <c r="E15" s="619">
        <f t="shared" si="1"/>
        <v>76</v>
      </c>
      <c r="F15" s="619">
        <f t="shared" si="1"/>
        <v>104</v>
      </c>
      <c r="G15" s="619">
        <f t="shared" si="1"/>
        <v>92</v>
      </c>
      <c r="H15" s="619">
        <f t="shared" si="1"/>
        <v>100</v>
      </c>
      <c r="I15" s="619">
        <f t="shared" si="1"/>
        <v>104</v>
      </c>
      <c r="J15" s="619">
        <f t="shared" si="1"/>
        <v>140</v>
      </c>
      <c r="K15" s="619">
        <f t="shared" si="1"/>
        <v>120</v>
      </c>
      <c r="L15" s="619">
        <f t="shared" si="1"/>
        <v>104</v>
      </c>
      <c r="M15" s="619">
        <f t="shared" si="1"/>
        <v>112</v>
      </c>
      <c r="N15" s="619">
        <f t="shared" si="1"/>
        <v>124</v>
      </c>
      <c r="O15" s="619">
        <f t="shared" si="1"/>
        <v>136</v>
      </c>
      <c r="P15" s="619">
        <f t="shared" si="1"/>
        <v>132</v>
      </c>
      <c r="Q15" s="619">
        <f t="shared" si="1"/>
        <v>128</v>
      </c>
    </row>
    <row r="16" spans="1:17">
      <c r="A16" s="616" t="s">
        <v>105</v>
      </c>
      <c r="B16" s="617">
        <f t="shared" ref="B16:Q16" si="2">B14+B15</f>
        <v>180</v>
      </c>
      <c r="C16" s="617">
        <f t="shared" si="2"/>
        <v>162</v>
      </c>
      <c r="D16" s="617">
        <f t="shared" si="2"/>
        <v>198</v>
      </c>
      <c r="E16" s="617">
        <f t="shared" si="2"/>
        <v>171</v>
      </c>
      <c r="F16" s="617">
        <f t="shared" si="2"/>
        <v>234</v>
      </c>
      <c r="G16" s="617">
        <f t="shared" si="2"/>
        <v>207</v>
      </c>
      <c r="H16" s="617">
        <f t="shared" si="2"/>
        <v>225</v>
      </c>
      <c r="I16" s="617">
        <f t="shared" si="2"/>
        <v>234</v>
      </c>
      <c r="J16" s="617">
        <f t="shared" si="2"/>
        <v>315</v>
      </c>
      <c r="K16" s="617">
        <f t="shared" si="2"/>
        <v>270</v>
      </c>
      <c r="L16" s="617">
        <f t="shared" si="2"/>
        <v>234</v>
      </c>
      <c r="M16" s="617">
        <f t="shared" si="2"/>
        <v>252</v>
      </c>
      <c r="N16" s="617">
        <f t="shared" si="2"/>
        <v>279</v>
      </c>
      <c r="O16" s="617">
        <f t="shared" si="2"/>
        <v>306</v>
      </c>
      <c r="P16" s="617">
        <f t="shared" si="2"/>
        <v>297</v>
      </c>
      <c r="Q16" s="617">
        <f t="shared" si="2"/>
        <v>288</v>
      </c>
    </row>
    <row r="19" spans="1:17" ht="16.2">
      <c r="A19" s="601" t="s">
        <v>1005</v>
      </c>
    </row>
    <row r="20" spans="1:17">
      <c r="A20" s="347" t="s">
        <v>22</v>
      </c>
    </row>
    <row r="21" spans="1:17">
      <c r="A21" s="446" t="s">
        <v>1104</v>
      </c>
      <c r="B21" s="663">
        <f>B14/B16 * $B$7 + B15/B16*$B$8</f>
        <v>7.7777777777777779E-2</v>
      </c>
      <c r="C21" s="663"/>
      <c r="D21" s="663"/>
      <c r="E21" s="446"/>
      <c r="F21" s="446"/>
      <c r="G21" s="446"/>
      <c r="H21" s="446"/>
      <c r="I21" s="446"/>
      <c r="J21" s="446"/>
      <c r="K21" s="446"/>
      <c r="L21" s="446"/>
      <c r="M21" s="446"/>
      <c r="N21" s="446"/>
      <c r="O21" s="446"/>
      <c r="P21" s="446"/>
      <c r="Q21" s="446"/>
    </row>
    <row r="22" spans="1:17">
      <c r="A22" s="446"/>
      <c r="B22" s="663"/>
      <c r="C22" s="663"/>
      <c r="D22" s="663"/>
      <c r="E22" s="446"/>
      <c r="F22" s="446"/>
      <c r="G22" s="446"/>
      <c r="H22" s="446"/>
      <c r="I22" s="446"/>
      <c r="J22" s="446"/>
      <c r="K22" s="446"/>
      <c r="L22" s="446"/>
      <c r="M22" s="446"/>
      <c r="N22" s="446"/>
      <c r="O22" s="446"/>
      <c r="P22" s="446"/>
      <c r="Q22" s="446"/>
    </row>
    <row r="23" spans="1:17">
      <c r="A23" s="446"/>
      <c r="B23" s="663"/>
      <c r="C23" s="663"/>
      <c r="D23" s="663"/>
      <c r="E23" s="446"/>
      <c r="F23" s="446"/>
      <c r="G23" s="446"/>
      <c r="H23" s="446"/>
      <c r="I23" s="446"/>
      <c r="J23" s="446"/>
      <c r="K23" s="446"/>
      <c r="L23" s="446"/>
      <c r="M23" s="446"/>
      <c r="N23" s="446"/>
      <c r="O23" s="446"/>
      <c r="P23" s="446"/>
      <c r="Q23" s="446"/>
    </row>
    <row r="24" spans="1:17">
      <c r="A24" s="446"/>
      <c r="B24" s="446"/>
      <c r="C24" s="446"/>
      <c r="D24" s="446"/>
      <c r="E24" s="446"/>
      <c r="F24" s="446"/>
      <c r="G24" s="446"/>
      <c r="H24" s="446"/>
      <c r="I24" s="446"/>
      <c r="J24" s="446"/>
      <c r="K24" s="446"/>
      <c r="L24" s="446"/>
      <c r="M24" s="446"/>
      <c r="N24" s="446"/>
      <c r="O24" s="446"/>
      <c r="P24" s="446"/>
      <c r="Q24" s="446"/>
    </row>
    <row r="25" spans="1:17">
      <c r="A25" s="446" t="s">
        <v>1105</v>
      </c>
      <c r="B25" s="446">
        <f t="shared" ref="B25:Q25" si="3">B14+B15</f>
        <v>180</v>
      </c>
      <c r="C25" s="446">
        <f t="shared" si="3"/>
        <v>162</v>
      </c>
      <c r="D25" s="446">
        <f t="shared" si="3"/>
        <v>198</v>
      </c>
      <c r="E25" s="446">
        <f t="shared" si="3"/>
        <v>171</v>
      </c>
      <c r="F25" s="446">
        <f t="shared" si="3"/>
        <v>234</v>
      </c>
      <c r="G25" s="446">
        <f t="shared" si="3"/>
        <v>207</v>
      </c>
      <c r="H25" s="446">
        <f t="shared" si="3"/>
        <v>225</v>
      </c>
      <c r="I25" s="446">
        <f t="shared" si="3"/>
        <v>234</v>
      </c>
      <c r="J25" s="446">
        <f t="shared" si="3"/>
        <v>315</v>
      </c>
      <c r="K25" s="446">
        <f t="shared" si="3"/>
        <v>270</v>
      </c>
      <c r="L25" s="446">
        <f t="shared" si="3"/>
        <v>234</v>
      </c>
      <c r="M25" s="446">
        <f t="shared" si="3"/>
        <v>252</v>
      </c>
      <c r="N25" s="446">
        <f t="shared" si="3"/>
        <v>279</v>
      </c>
      <c r="O25" s="446">
        <f t="shared" si="3"/>
        <v>306</v>
      </c>
      <c r="P25" s="446">
        <f t="shared" si="3"/>
        <v>297</v>
      </c>
      <c r="Q25" s="446">
        <f t="shared" si="3"/>
        <v>288</v>
      </c>
    </row>
    <row r="26" spans="1:17">
      <c r="A26" s="446"/>
      <c r="B26" s="446"/>
      <c r="C26" s="446"/>
      <c r="D26" s="446"/>
      <c r="E26" s="446"/>
      <c r="F26" s="446"/>
      <c r="G26" s="446"/>
      <c r="H26" s="446"/>
      <c r="I26" s="446"/>
      <c r="J26" s="446"/>
      <c r="K26" s="446"/>
      <c r="L26" s="446"/>
      <c r="M26" s="446"/>
      <c r="N26" s="446"/>
      <c r="O26" s="446"/>
      <c r="P26" s="446"/>
      <c r="Q26" s="446"/>
    </row>
    <row r="27" spans="1:17">
      <c r="A27" s="446" t="s">
        <v>641</v>
      </c>
      <c r="B27" s="446">
        <v>1</v>
      </c>
      <c r="C27" s="446">
        <v>2</v>
      </c>
      <c r="D27" s="446">
        <v>3</v>
      </c>
      <c r="E27" s="446">
        <v>4</v>
      </c>
      <c r="F27" s="446"/>
      <c r="G27" s="446"/>
      <c r="H27" s="446"/>
      <c r="I27" s="446"/>
      <c r="J27" s="446"/>
      <c r="K27" s="446"/>
      <c r="L27" s="446"/>
      <c r="M27" s="446"/>
      <c r="N27" s="446"/>
      <c r="O27" s="446"/>
      <c r="P27" s="446"/>
      <c r="Q27" s="446"/>
    </row>
    <row r="28" spans="1:17">
      <c r="A28" s="446" t="s">
        <v>1106</v>
      </c>
      <c r="B28" s="446">
        <f>AVERAGE(B25:E25)</f>
        <v>177.75</v>
      </c>
      <c r="C28" s="446">
        <f>AVERAGE(F25:I25)</f>
        <v>225</v>
      </c>
      <c r="D28" s="446">
        <f>AVERAGE(J25:M25)</f>
        <v>267.75</v>
      </c>
      <c r="E28" s="446">
        <f>AVERAGE(N25:Q25)</f>
        <v>292.5</v>
      </c>
      <c r="F28" s="446"/>
      <c r="G28" s="446"/>
      <c r="H28" s="446"/>
      <c r="I28" s="446"/>
      <c r="J28" s="446"/>
      <c r="K28" s="446"/>
      <c r="L28" s="446"/>
      <c r="M28" s="446"/>
      <c r="N28" s="446"/>
      <c r="O28" s="446"/>
      <c r="P28" s="446"/>
      <c r="Q28" s="446"/>
    </row>
    <row r="29" spans="1:17">
      <c r="A29" s="446" t="s">
        <v>1107</v>
      </c>
      <c r="B29" s="670">
        <f>$B$21</f>
        <v>7.7777777777777779E-2</v>
      </c>
      <c r="C29" s="670">
        <f>$B$21</f>
        <v>7.7777777777777779E-2</v>
      </c>
      <c r="D29" s="670">
        <f>$B$21</f>
        <v>7.7777777777777779E-2</v>
      </c>
      <c r="E29" s="670">
        <f>$B$21</f>
        <v>7.7777777777777779E-2</v>
      </c>
      <c r="F29" s="446"/>
      <c r="G29" s="446"/>
      <c r="H29" s="446"/>
      <c r="I29" s="446"/>
      <c r="J29" s="446"/>
      <c r="K29" s="446"/>
      <c r="L29" s="446"/>
      <c r="M29" s="446"/>
      <c r="N29" s="446"/>
      <c r="O29" s="446"/>
      <c r="P29" s="446"/>
      <c r="Q29" s="446"/>
    </row>
    <row r="30" spans="1:17">
      <c r="A30" s="446" t="s">
        <v>1108</v>
      </c>
      <c r="B30" s="446">
        <f>B28*B29</f>
        <v>13.825000000000001</v>
      </c>
      <c r="C30" s="446">
        <f>C28*C29</f>
        <v>17.5</v>
      </c>
      <c r="D30" s="446">
        <f>D28*D29</f>
        <v>20.824999999999999</v>
      </c>
      <c r="E30" s="446">
        <f>E28*E29</f>
        <v>22.75</v>
      </c>
      <c r="F30" s="446"/>
      <c r="G30" s="446"/>
      <c r="H30" s="446"/>
      <c r="I30" s="446"/>
      <c r="J30" s="446"/>
      <c r="K30" s="446"/>
      <c r="L30" s="446"/>
      <c r="M30" s="446"/>
      <c r="N30" s="446"/>
      <c r="O30" s="446"/>
      <c r="P30" s="446"/>
      <c r="Q30" s="446"/>
    </row>
    <row r="31" spans="1:17">
      <c r="A31" s="446" t="s">
        <v>1109</v>
      </c>
      <c r="B31" s="446">
        <f>1/(1+$B$9)^B27</f>
        <v>0.95238095238095233</v>
      </c>
      <c r="C31" s="446">
        <f>1/(1+$B$9)^C27</f>
        <v>0.90702947845804982</v>
      </c>
      <c r="D31" s="446">
        <f>1/(1+$B$9)^D27</f>
        <v>0.86383759853147601</v>
      </c>
      <c r="E31" s="446">
        <f>1/(1+$B$9)^E27</f>
        <v>0.82270247479188197</v>
      </c>
      <c r="F31" s="446"/>
      <c r="G31" s="446"/>
      <c r="H31" s="446"/>
      <c r="I31" s="446"/>
      <c r="J31" s="446"/>
      <c r="K31" s="446"/>
      <c r="L31" s="446"/>
      <c r="M31" s="446"/>
      <c r="N31" s="446"/>
      <c r="O31" s="446"/>
      <c r="P31" s="446"/>
      <c r="Q31" s="446"/>
    </row>
    <row r="32" spans="1:17">
      <c r="A32" s="446" t="s">
        <v>1110</v>
      </c>
      <c r="B32" s="446">
        <f>B30*B31</f>
        <v>13.166666666666666</v>
      </c>
      <c r="C32" s="446">
        <f>C30*C31</f>
        <v>15.873015873015872</v>
      </c>
      <c r="D32" s="446">
        <f>D30*D31</f>
        <v>17.989417989417987</v>
      </c>
      <c r="E32" s="446">
        <f>E30*E31</f>
        <v>18.716481301515316</v>
      </c>
      <c r="F32" s="446"/>
      <c r="G32" s="446"/>
      <c r="H32" s="446"/>
      <c r="I32" s="446"/>
      <c r="J32" s="446"/>
      <c r="K32" s="446"/>
      <c r="L32" s="446"/>
      <c r="M32" s="446"/>
      <c r="N32" s="446"/>
      <c r="O32" s="446"/>
      <c r="P32" s="446"/>
      <c r="Q32" s="446"/>
    </row>
    <row r="33" spans="1:17" ht="16.2" thickBot="1">
      <c r="A33" s="446"/>
      <c r="B33" s="446"/>
      <c r="C33" s="446"/>
      <c r="D33" s="446"/>
      <c r="E33" s="446"/>
      <c r="F33" s="446"/>
      <c r="G33" s="446"/>
      <c r="H33" s="446"/>
      <c r="I33" s="446"/>
      <c r="J33" s="446"/>
      <c r="K33" s="446"/>
      <c r="L33" s="446"/>
      <c r="M33" s="446"/>
      <c r="N33" s="446"/>
      <c r="O33" s="446"/>
      <c r="P33" s="446"/>
      <c r="Q33" s="446"/>
    </row>
    <row r="34" spans="1:17" ht="16.2" thickBot="1">
      <c r="A34" s="446" t="s">
        <v>1111</v>
      </c>
      <c r="B34" s="671">
        <f>SUM(B32:E32)</f>
        <v>65.745581830615833</v>
      </c>
      <c r="C34" s="446"/>
      <c r="D34" s="446"/>
      <c r="E34" s="446"/>
      <c r="F34" s="446"/>
      <c r="G34" s="446"/>
      <c r="H34" s="446"/>
      <c r="I34" s="446"/>
      <c r="J34" s="446"/>
      <c r="K34" s="446"/>
      <c r="L34" s="446"/>
      <c r="M34" s="446"/>
      <c r="N34" s="446"/>
      <c r="O34" s="446"/>
      <c r="P34" s="446"/>
      <c r="Q34" s="446"/>
    </row>
  </sheetData>
  <pageMargins left="0.7" right="0.7" top="0.75" bottom="0.75" header="0.3" footer="0.3"/>
  <headerFooter>
    <oddFooter>&amp;C_x000D_&amp;1#&amp;"Calibri"&amp;10&amp;K000000 CONFIDENTIAL</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DEA3F-0FD4-44F9-9F1E-D0B96770946E}">
  <sheetPr>
    <tabColor rgb="FFD9E2F5"/>
  </sheetPr>
  <dimension ref="A1:B14"/>
  <sheetViews>
    <sheetView workbookViewId="0">
      <selection activeCell="K10" sqref="K10"/>
    </sheetView>
  </sheetViews>
  <sheetFormatPr defaultColWidth="8.77734375" defaultRowHeight="15.6"/>
  <cols>
    <col min="1" max="1" width="34.77734375" style="347" customWidth="1"/>
    <col min="2" max="16384" width="8.77734375" style="347"/>
  </cols>
  <sheetData>
    <row r="1" spans="1:2">
      <c r="A1" s="601" t="s">
        <v>1006</v>
      </c>
    </row>
    <row r="2" spans="1:2">
      <c r="A2" s="601" t="s">
        <v>979</v>
      </c>
    </row>
    <row r="3" spans="1:2">
      <c r="A3" s="601" t="s">
        <v>975</v>
      </c>
    </row>
    <row r="5" spans="1:2">
      <c r="A5" s="601" t="s">
        <v>1007</v>
      </c>
    </row>
    <row r="7" spans="1:2">
      <c r="A7" s="601" t="s">
        <v>763</v>
      </c>
    </row>
    <row r="8" spans="1:2">
      <c r="A8" s="603" t="s">
        <v>1008</v>
      </c>
      <c r="B8" s="620">
        <v>10000</v>
      </c>
    </row>
    <row r="9" spans="1:2">
      <c r="A9" s="603" t="s">
        <v>1009</v>
      </c>
      <c r="B9" s="620">
        <v>1500</v>
      </c>
    </row>
    <row r="10" spans="1:2">
      <c r="A10" s="603" t="s">
        <v>1010</v>
      </c>
      <c r="B10" s="602">
        <v>50</v>
      </c>
    </row>
    <row r="11" spans="1:2">
      <c r="A11" s="603" t="s">
        <v>1011</v>
      </c>
      <c r="B11" s="615">
        <v>0.05</v>
      </c>
    </row>
    <row r="13" spans="1:2">
      <c r="A13" s="601" t="s">
        <v>1012</v>
      </c>
    </row>
    <row r="14" spans="1:2">
      <c r="A14" s="347" t="s">
        <v>22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7881-D555-45F7-A2B1-57C24BB157B8}">
  <sheetPr>
    <tabColor rgb="FFFF0000"/>
  </sheetPr>
  <dimension ref="A1:I20"/>
  <sheetViews>
    <sheetView workbookViewId="0">
      <selection activeCell="F19" sqref="F19"/>
    </sheetView>
  </sheetViews>
  <sheetFormatPr defaultColWidth="8.77734375" defaultRowHeight="14.4"/>
  <cols>
    <col min="1" max="1" width="32.21875" style="328" bestFit="1" customWidth="1"/>
    <col min="2" max="9" width="14.5546875" style="328" customWidth="1"/>
    <col min="10" max="16384" width="8.77734375" style="328"/>
  </cols>
  <sheetData>
    <row r="1" spans="1:9" ht="15.6">
      <c r="A1" s="601" t="s">
        <v>434</v>
      </c>
    </row>
    <row r="2" spans="1:9" ht="15.6">
      <c r="A2" s="601" t="s">
        <v>47</v>
      </c>
    </row>
    <row r="3" spans="1:9" ht="15.6">
      <c r="A3" s="601" t="s">
        <v>975</v>
      </c>
    </row>
    <row r="4" spans="1:9" ht="15.6">
      <c r="A4" s="601"/>
    </row>
    <row r="5" spans="1:9" ht="15.6">
      <c r="A5" s="601" t="s">
        <v>1013</v>
      </c>
    </row>
    <row r="6" spans="1:9" ht="15.6">
      <c r="A6" s="601" t="s">
        <v>1014</v>
      </c>
    </row>
    <row r="7" spans="1:9" ht="15.6">
      <c r="A7" s="601"/>
    </row>
    <row r="8" spans="1:9" ht="15.6">
      <c r="A8" s="601" t="s">
        <v>1015</v>
      </c>
    </row>
    <row r="9" spans="1:9">
      <c r="A9" s="621"/>
      <c r="B9" s="789" t="s">
        <v>1016</v>
      </c>
      <c r="C9" s="790"/>
      <c r="D9" s="791" t="s">
        <v>1017</v>
      </c>
      <c r="E9" s="792"/>
      <c r="F9" s="791" t="s">
        <v>1018</v>
      </c>
      <c r="G9" s="792"/>
      <c r="H9" s="791" t="s">
        <v>1019</v>
      </c>
      <c r="I9" s="792"/>
    </row>
    <row r="10" spans="1:9">
      <c r="A10" s="622" t="s">
        <v>1020</v>
      </c>
      <c r="B10" s="623" t="s">
        <v>1021</v>
      </c>
      <c r="C10" s="624" t="s">
        <v>1022</v>
      </c>
      <c r="D10" s="623" t="s">
        <v>1021</v>
      </c>
      <c r="E10" s="624" t="s">
        <v>1022</v>
      </c>
      <c r="F10" s="625" t="s">
        <v>1021</v>
      </c>
      <c r="G10" s="626" t="s">
        <v>1022</v>
      </c>
      <c r="H10" s="625" t="s">
        <v>1021</v>
      </c>
      <c r="I10" s="626" t="s">
        <v>1022</v>
      </c>
    </row>
    <row r="11" spans="1:9">
      <c r="A11" s="627" t="s">
        <v>1023</v>
      </c>
      <c r="B11" s="628">
        <v>1</v>
      </c>
      <c r="C11" s="629">
        <v>2.5999999999999999E-2</v>
      </c>
      <c r="D11" s="628">
        <v>0.6</v>
      </c>
      <c r="E11" s="629">
        <v>2.5999999999999999E-2</v>
      </c>
      <c r="F11" s="628">
        <v>0.3</v>
      </c>
      <c r="G11" s="629">
        <v>2.5999999999999999E-2</v>
      </c>
      <c r="H11" s="628">
        <v>0.2</v>
      </c>
      <c r="I11" s="629">
        <v>2.5999999999999999E-2</v>
      </c>
    </row>
    <row r="12" spans="1:9">
      <c r="A12" s="627" t="s">
        <v>1024</v>
      </c>
      <c r="B12" s="628">
        <v>0</v>
      </c>
      <c r="C12" s="629">
        <v>3.4000000000000002E-2</v>
      </c>
      <c r="D12" s="628">
        <v>0.4</v>
      </c>
      <c r="E12" s="629">
        <v>3.4000000000000002E-2</v>
      </c>
      <c r="F12" s="628">
        <v>0.5</v>
      </c>
      <c r="G12" s="629">
        <v>3.4000000000000002E-2</v>
      </c>
      <c r="H12" s="628">
        <v>0.3</v>
      </c>
      <c r="I12" s="629">
        <v>3.4000000000000002E-2</v>
      </c>
    </row>
    <row r="13" spans="1:9">
      <c r="A13" s="627" t="s">
        <v>1025</v>
      </c>
      <c r="B13" s="628">
        <v>0</v>
      </c>
      <c r="C13" s="629">
        <v>4.2999999999999997E-2</v>
      </c>
      <c r="D13" s="628">
        <v>0</v>
      </c>
      <c r="E13" s="629">
        <v>4.2999999999999997E-2</v>
      </c>
      <c r="F13" s="628">
        <v>0.2</v>
      </c>
      <c r="G13" s="629">
        <v>4.2999999999999997E-2</v>
      </c>
      <c r="H13" s="628">
        <v>0.25</v>
      </c>
      <c r="I13" s="629">
        <v>4.2999999999999997E-2</v>
      </c>
    </row>
    <row r="14" spans="1:9">
      <c r="A14" s="627" t="s">
        <v>1026</v>
      </c>
      <c r="B14" s="628">
        <v>0</v>
      </c>
      <c r="C14" s="629">
        <v>4.2500000000000003E-2</v>
      </c>
      <c r="D14" s="628">
        <v>0</v>
      </c>
      <c r="E14" s="629">
        <v>4.2500000000000003E-2</v>
      </c>
      <c r="F14" s="628">
        <v>0</v>
      </c>
      <c r="G14" s="629">
        <v>4.2500000000000003E-2</v>
      </c>
      <c r="H14" s="628">
        <v>0.25</v>
      </c>
      <c r="I14" s="629">
        <v>0.04</v>
      </c>
    </row>
    <row r="15" spans="1:9" s="632" customFormat="1">
      <c r="A15" s="627" t="s">
        <v>105</v>
      </c>
      <c r="B15" s="630">
        <v>1</v>
      </c>
      <c r="C15" s="631">
        <v>2.5999999999999999E-2</v>
      </c>
      <c r="D15" s="630">
        <v>1</v>
      </c>
      <c r="E15" s="631">
        <v>2.92E-2</v>
      </c>
      <c r="F15" s="630">
        <v>1</v>
      </c>
      <c r="G15" s="631">
        <v>3.3399999999999999E-2</v>
      </c>
      <c r="H15" s="630">
        <v>1</v>
      </c>
      <c r="I15" s="631">
        <v>3.6200000000000003E-2</v>
      </c>
    </row>
    <row r="16" spans="1:9">
      <c r="A16" s="633" t="s">
        <v>1027</v>
      </c>
      <c r="B16" s="625"/>
      <c r="C16" s="634">
        <v>0.1</v>
      </c>
      <c r="D16" s="625"/>
      <c r="E16" s="634">
        <v>0.108</v>
      </c>
      <c r="F16" s="625"/>
      <c r="G16" s="634">
        <v>0.114</v>
      </c>
      <c r="H16" s="625"/>
      <c r="I16" s="634">
        <v>0.11799999999999999</v>
      </c>
    </row>
    <row r="19" spans="1:1" ht="15.6">
      <c r="A19" s="601" t="s">
        <v>1028</v>
      </c>
    </row>
    <row r="20" spans="1:1" ht="15.6">
      <c r="A20" s="347" t="s">
        <v>22</v>
      </c>
    </row>
  </sheetData>
  <mergeCells count="4">
    <mergeCell ref="B9:C9"/>
    <mergeCell ref="D9:E9"/>
    <mergeCell ref="F9:G9"/>
    <mergeCell ref="H9:I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026D4-28DC-4285-AD75-97A02BDA7EFB}">
  <sheetPr>
    <tabColor rgb="FFD9E2F5"/>
  </sheetPr>
  <dimension ref="A1:E15"/>
  <sheetViews>
    <sheetView workbookViewId="0">
      <selection activeCell="K10" sqref="K10"/>
    </sheetView>
  </sheetViews>
  <sheetFormatPr defaultColWidth="8.77734375" defaultRowHeight="14.4"/>
  <cols>
    <col min="1" max="1" width="8.77734375" style="328"/>
    <col min="2" max="5" width="32.21875" style="328" bestFit="1" customWidth="1"/>
    <col min="6" max="16384" width="8.77734375" style="328"/>
  </cols>
  <sheetData>
    <row r="1" spans="1:5" ht="15.6">
      <c r="A1" s="601" t="s">
        <v>214</v>
      </c>
    </row>
    <row r="2" spans="1:5" ht="15.6">
      <c r="A2" s="601" t="s">
        <v>1029</v>
      </c>
    </row>
    <row r="3" spans="1:5" ht="15.6">
      <c r="A3" s="601" t="s">
        <v>43</v>
      </c>
    </row>
    <row r="4" spans="1:5" ht="15.6">
      <c r="A4" s="601" t="s">
        <v>967</v>
      </c>
    </row>
    <row r="5" spans="1:5" ht="15.6">
      <c r="A5" s="601"/>
    </row>
    <row r="6" spans="1:5" ht="15.6">
      <c r="A6" s="601" t="s">
        <v>1030</v>
      </c>
    </row>
    <row r="7" spans="1:5" ht="15.6">
      <c r="A7" s="601"/>
    </row>
    <row r="8" spans="1:5" ht="15.6">
      <c r="A8" s="601" t="s">
        <v>1031</v>
      </c>
    </row>
    <row r="9" spans="1:5" ht="15.6">
      <c r="A9" s="601" t="s">
        <v>1032</v>
      </c>
    </row>
    <row r="10" spans="1:5" ht="15.6">
      <c r="A10" s="601"/>
    </row>
    <row r="11" spans="1:5">
      <c r="B11" s="632"/>
      <c r="C11" s="632" t="s">
        <v>1033</v>
      </c>
      <c r="D11" s="632" t="s">
        <v>1034</v>
      </c>
      <c r="E11" s="632" t="s">
        <v>1035</v>
      </c>
    </row>
    <row r="12" spans="1:5" ht="48" customHeight="1">
      <c r="B12" s="632" t="s">
        <v>1036</v>
      </c>
    </row>
    <row r="13" spans="1:5" ht="48" customHeight="1">
      <c r="B13" s="632" t="s">
        <v>1037</v>
      </c>
    </row>
    <row r="14" spans="1:5" ht="48" customHeight="1">
      <c r="B14" s="632" t="s">
        <v>1038</v>
      </c>
    </row>
    <row r="15" spans="1:5" ht="48" customHeight="1">
      <c r="B15" s="632" t="s">
        <v>1039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AEA38-64CD-4C0E-8699-8927C88641DA}">
  <sheetPr>
    <tabColor rgb="FFD9E2F5"/>
  </sheetPr>
  <dimension ref="A1:O63"/>
  <sheetViews>
    <sheetView workbookViewId="0">
      <selection activeCell="K10" sqref="K10"/>
    </sheetView>
  </sheetViews>
  <sheetFormatPr defaultColWidth="8.77734375" defaultRowHeight="15.6"/>
  <cols>
    <col min="1" max="1" width="45.77734375" style="347" bestFit="1" customWidth="1"/>
    <col min="2" max="16384" width="8.77734375" style="347"/>
  </cols>
  <sheetData>
    <row r="1" spans="1:15">
      <c r="A1" s="601" t="s">
        <v>214</v>
      </c>
    </row>
    <row r="2" spans="1:15">
      <c r="A2" s="601" t="s">
        <v>1029</v>
      </c>
    </row>
    <row r="3" spans="1:15">
      <c r="A3" s="601" t="s">
        <v>974</v>
      </c>
    </row>
    <row r="4" spans="1:15">
      <c r="A4" s="601" t="s">
        <v>1040</v>
      </c>
    </row>
    <row r="5" spans="1:15">
      <c r="A5" s="601"/>
    </row>
    <row r="6" spans="1:15">
      <c r="A6" s="601" t="s">
        <v>1030</v>
      </c>
    </row>
    <row r="7" spans="1:15">
      <c r="A7" s="601" t="s">
        <v>1041</v>
      </c>
    </row>
    <row r="8" spans="1:15">
      <c r="A8" s="601"/>
    </row>
    <row r="9" spans="1:15">
      <c r="A9" s="635" t="s">
        <v>1042</v>
      </c>
      <c r="B9" s="636"/>
      <c r="C9" s="636"/>
      <c r="D9" s="636"/>
      <c r="E9" s="636"/>
      <c r="F9" s="636"/>
      <c r="G9" s="636"/>
      <c r="H9" s="636"/>
      <c r="I9" s="636"/>
      <c r="J9" s="636"/>
      <c r="K9" s="636"/>
      <c r="L9" s="636"/>
      <c r="M9" s="636"/>
    </row>
    <row r="10" spans="1:15" s="639" customFormat="1">
      <c r="A10" s="637" t="s">
        <v>1043</v>
      </c>
      <c r="B10" s="636"/>
      <c r="C10" s="638"/>
      <c r="D10" s="636"/>
      <c r="E10" s="636"/>
      <c r="F10" s="636"/>
      <c r="G10" s="636"/>
      <c r="H10" s="636"/>
      <c r="I10" s="636"/>
      <c r="J10" s="636"/>
      <c r="K10" s="636"/>
      <c r="L10" s="636"/>
      <c r="M10" s="636"/>
    </row>
    <row r="11" spans="1:15" s="639" customFormat="1">
      <c r="A11" s="638" t="s">
        <v>1044</v>
      </c>
      <c r="B11" s="640">
        <v>45261</v>
      </c>
      <c r="C11" s="640">
        <f>EDATE(B11,12)</f>
        <v>45627</v>
      </c>
      <c r="D11" s="640">
        <f t="shared" ref="D11:L11" si="0">EDATE(C11,12)</f>
        <v>45992</v>
      </c>
      <c r="E11" s="640">
        <f t="shared" si="0"/>
        <v>46357</v>
      </c>
      <c r="F11" s="640">
        <f t="shared" si="0"/>
        <v>46722</v>
      </c>
      <c r="G11" s="640">
        <f t="shared" si="0"/>
        <v>47088</v>
      </c>
      <c r="H11" s="640">
        <f t="shared" si="0"/>
        <v>47453</v>
      </c>
      <c r="I11" s="640">
        <f t="shared" si="0"/>
        <v>47818</v>
      </c>
      <c r="J11" s="640">
        <f t="shared" si="0"/>
        <v>48183</v>
      </c>
      <c r="K11" s="640">
        <f t="shared" si="0"/>
        <v>48549</v>
      </c>
      <c r="L11" s="640">
        <f t="shared" si="0"/>
        <v>48914</v>
      </c>
      <c r="M11" s="636"/>
      <c r="O11" s="641"/>
    </row>
    <row r="12" spans="1:15" s="639" customFormat="1">
      <c r="A12" s="638" t="s">
        <v>70</v>
      </c>
      <c r="B12" s="636"/>
      <c r="C12" s="638">
        <v>100</v>
      </c>
      <c r="D12" s="638">
        <f>C12+5</f>
        <v>105</v>
      </c>
      <c r="E12" s="638">
        <f t="shared" ref="E12:L12" si="1">D12+5</f>
        <v>110</v>
      </c>
      <c r="F12" s="638">
        <f t="shared" si="1"/>
        <v>115</v>
      </c>
      <c r="G12" s="638">
        <f t="shared" si="1"/>
        <v>120</v>
      </c>
      <c r="H12" s="638">
        <f t="shared" si="1"/>
        <v>125</v>
      </c>
      <c r="I12" s="638">
        <f t="shared" si="1"/>
        <v>130</v>
      </c>
      <c r="J12" s="638">
        <f t="shared" si="1"/>
        <v>135</v>
      </c>
      <c r="K12" s="638">
        <f t="shared" si="1"/>
        <v>140</v>
      </c>
      <c r="L12" s="638">
        <f t="shared" si="1"/>
        <v>145</v>
      </c>
      <c r="M12" s="636"/>
    </row>
    <row r="13" spans="1:15" s="639" customFormat="1">
      <c r="A13" s="638" t="s">
        <v>367</v>
      </c>
      <c r="B13" s="636"/>
      <c r="C13" s="638">
        <v>8</v>
      </c>
      <c r="D13" s="638">
        <f>C13+1</f>
        <v>9</v>
      </c>
      <c r="E13" s="638">
        <f t="shared" ref="E13:L13" si="2">D13+1</f>
        <v>10</v>
      </c>
      <c r="F13" s="638">
        <f t="shared" si="2"/>
        <v>11</v>
      </c>
      <c r="G13" s="638">
        <f t="shared" si="2"/>
        <v>12</v>
      </c>
      <c r="H13" s="638">
        <f t="shared" si="2"/>
        <v>13</v>
      </c>
      <c r="I13" s="638">
        <f t="shared" si="2"/>
        <v>14</v>
      </c>
      <c r="J13" s="638">
        <f t="shared" si="2"/>
        <v>15</v>
      </c>
      <c r="K13" s="638">
        <f t="shared" si="2"/>
        <v>16</v>
      </c>
      <c r="L13" s="638">
        <f t="shared" si="2"/>
        <v>17</v>
      </c>
      <c r="M13" s="636"/>
    </row>
    <row r="14" spans="1:15" s="639" customFormat="1">
      <c r="A14" s="638" t="s">
        <v>68</v>
      </c>
      <c r="B14" s="636"/>
      <c r="C14" s="638">
        <v>25</v>
      </c>
      <c r="D14" s="638">
        <f>C14+2</f>
        <v>27</v>
      </c>
      <c r="E14" s="638">
        <f t="shared" ref="E14:L14" si="3">D14+2</f>
        <v>29</v>
      </c>
      <c r="F14" s="638">
        <f t="shared" si="3"/>
        <v>31</v>
      </c>
      <c r="G14" s="638">
        <f t="shared" si="3"/>
        <v>33</v>
      </c>
      <c r="H14" s="638">
        <f t="shared" si="3"/>
        <v>35</v>
      </c>
      <c r="I14" s="638">
        <f t="shared" si="3"/>
        <v>37</v>
      </c>
      <c r="J14" s="638">
        <f t="shared" si="3"/>
        <v>39</v>
      </c>
      <c r="K14" s="638">
        <f t="shared" si="3"/>
        <v>41</v>
      </c>
      <c r="L14" s="638">
        <f t="shared" si="3"/>
        <v>43</v>
      </c>
      <c r="M14" s="636"/>
    </row>
    <row r="15" spans="1:15" s="639" customFormat="1">
      <c r="A15" s="638" t="s">
        <v>1045</v>
      </c>
      <c r="B15" s="636"/>
      <c r="C15" s="638">
        <v>30</v>
      </c>
      <c r="D15" s="638">
        <f>C15+1</f>
        <v>31</v>
      </c>
      <c r="E15" s="638">
        <f t="shared" ref="E15:L17" si="4">D15+1</f>
        <v>32</v>
      </c>
      <c r="F15" s="638">
        <f t="shared" si="4"/>
        <v>33</v>
      </c>
      <c r="G15" s="638">
        <f t="shared" si="4"/>
        <v>34</v>
      </c>
      <c r="H15" s="638">
        <f t="shared" si="4"/>
        <v>35</v>
      </c>
      <c r="I15" s="638">
        <f t="shared" si="4"/>
        <v>36</v>
      </c>
      <c r="J15" s="638">
        <f t="shared" si="4"/>
        <v>37</v>
      </c>
      <c r="K15" s="638">
        <f t="shared" si="4"/>
        <v>38</v>
      </c>
      <c r="L15" s="638">
        <f t="shared" si="4"/>
        <v>39</v>
      </c>
      <c r="M15" s="636"/>
    </row>
    <row r="16" spans="1:15" s="639" customFormat="1">
      <c r="A16" s="638" t="s">
        <v>1046</v>
      </c>
      <c r="B16" s="636"/>
      <c r="C16" s="638">
        <v>20</v>
      </c>
      <c r="D16" s="638">
        <f>C16+1</f>
        <v>21</v>
      </c>
      <c r="E16" s="638">
        <f t="shared" si="4"/>
        <v>22</v>
      </c>
      <c r="F16" s="638">
        <f t="shared" si="4"/>
        <v>23</v>
      </c>
      <c r="G16" s="638">
        <f t="shared" si="4"/>
        <v>24</v>
      </c>
      <c r="H16" s="638">
        <f t="shared" si="4"/>
        <v>25</v>
      </c>
      <c r="I16" s="638">
        <f t="shared" si="4"/>
        <v>26</v>
      </c>
      <c r="J16" s="638">
        <f t="shared" si="4"/>
        <v>27</v>
      </c>
      <c r="K16" s="638">
        <f t="shared" si="4"/>
        <v>28</v>
      </c>
      <c r="L16" s="638">
        <f t="shared" si="4"/>
        <v>29</v>
      </c>
      <c r="M16" s="636"/>
    </row>
    <row r="17" spans="1:13" s="639" customFormat="1">
      <c r="A17" s="638" t="s">
        <v>1047</v>
      </c>
      <c r="B17" s="636"/>
      <c r="C17" s="638">
        <v>12</v>
      </c>
      <c r="D17" s="638">
        <f>C17+1</f>
        <v>13</v>
      </c>
      <c r="E17" s="638">
        <f t="shared" si="4"/>
        <v>14</v>
      </c>
      <c r="F17" s="638">
        <f t="shared" si="4"/>
        <v>15</v>
      </c>
      <c r="G17" s="638">
        <f t="shared" si="4"/>
        <v>16</v>
      </c>
      <c r="H17" s="638">
        <f t="shared" si="4"/>
        <v>17</v>
      </c>
      <c r="I17" s="638">
        <f t="shared" si="4"/>
        <v>18</v>
      </c>
      <c r="J17" s="638">
        <f t="shared" si="4"/>
        <v>19</v>
      </c>
      <c r="K17" s="638">
        <f t="shared" si="4"/>
        <v>20</v>
      </c>
      <c r="L17" s="638">
        <f t="shared" si="4"/>
        <v>21</v>
      </c>
      <c r="M17" s="636"/>
    </row>
    <row r="18" spans="1:13" s="639" customFormat="1">
      <c r="A18" s="638"/>
      <c r="B18" s="636"/>
      <c r="C18" s="638"/>
      <c r="D18" s="636"/>
      <c r="E18" s="636"/>
      <c r="F18" s="636"/>
      <c r="G18" s="636"/>
      <c r="H18" s="636"/>
      <c r="I18" s="636"/>
      <c r="J18" s="636"/>
      <c r="K18" s="636"/>
      <c r="L18" s="636"/>
      <c r="M18" s="636"/>
    </row>
    <row r="19" spans="1:13" s="639" customFormat="1">
      <c r="A19" s="638" t="s">
        <v>1048</v>
      </c>
      <c r="B19" s="638">
        <v>145</v>
      </c>
      <c r="C19" s="638">
        <f>B19+5</f>
        <v>150</v>
      </c>
      <c r="D19" s="638">
        <f t="shared" ref="D19:L20" si="5">C19+5</f>
        <v>155</v>
      </c>
      <c r="E19" s="638">
        <f t="shared" si="5"/>
        <v>160</v>
      </c>
      <c r="F19" s="638">
        <f t="shared" si="5"/>
        <v>165</v>
      </c>
      <c r="G19" s="638">
        <f t="shared" si="5"/>
        <v>170</v>
      </c>
      <c r="H19" s="638">
        <f t="shared" si="5"/>
        <v>175</v>
      </c>
      <c r="I19" s="638">
        <f t="shared" si="5"/>
        <v>180</v>
      </c>
      <c r="J19" s="638">
        <f t="shared" si="5"/>
        <v>185</v>
      </c>
      <c r="K19" s="638">
        <f t="shared" si="5"/>
        <v>190</v>
      </c>
      <c r="L19" s="638">
        <f t="shared" si="5"/>
        <v>195</v>
      </c>
      <c r="M19" s="636"/>
    </row>
    <row r="20" spans="1:13" s="639" customFormat="1">
      <c r="A20" s="638" t="s">
        <v>1049</v>
      </c>
      <c r="B20" s="638">
        <v>135</v>
      </c>
      <c r="C20" s="638">
        <f>B20+5</f>
        <v>140</v>
      </c>
      <c r="D20" s="638">
        <f t="shared" si="5"/>
        <v>145</v>
      </c>
      <c r="E20" s="638">
        <f t="shared" si="5"/>
        <v>150</v>
      </c>
      <c r="F20" s="638">
        <f t="shared" si="5"/>
        <v>155</v>
      </c>
      <c r="G20" s="638">
        <f t="shared" si="5"/>
        <v>160</v>
      </c>
      <c r="H20" s="638">
        <f t="shared" si="5"/>
        <v>165</v>
      </c>
      <c r="I20" s="638">
        <f t="shared" si="5"/>
        <v>170</v>
      </c>
      <c r="J20" s="638">
        <f t="shared" si="5"/>
        <v>175</v>
      </c>
      <c r="K20" s="638">
        <f t="shared" si="5"/>
        <v>180</v>
      </c>
      <c r="L20" s="638">
        <f t="shared" si="5"/>
        <v>185</v>
      </c>
      <c r="M20" s="636"/>
    </row>
    <row r="21" spans="1:13">
      <c r="A21" s="638"/>
      <c r="B21" s="638"/>
      <c r="C21" s="638"/>
      <c r="D21" s="638"/>
      <c r="E21" s="638"/>
      <c r="F21" s="638"/>
      <c r="G21" s="638"/>
      <c r="H21" s="638"/>
      <c r="I21" s="638"/>
      <c r="J21" s="638"/>
      <c r="K21" s="638"/>
      <c r="L21" s="638"/>
      <c r="M21" s="636"/>
    </row>
    <row r="22" spans="1:13">
      <c r="A22" s="637" t="s">
        <v>1050</v>
      </c>
      <c r="B22" s="638"/>
      <c r="C22" s="638"/>
      <c r="D22" s="636"/>
      <c r="E22" s="636"/>
      <c r="F22" s="636"/>
      <c r="G22" s="636"/>
      <c r="H22" s="636"/>
      <c r="I22" s="636"/>
      <c r="J22" s="636"/>
      <c r="K22" s="636"/>
      <c r="L22" s="636"/>
      <c r="M22" s="636"/>
    </row>
    <row r="23" spans="1:13">
      <c r="A23" s="638" t="s">
        <v>1044</v>
      </c>
      <c r="B23" s="640">
        <v>45261</v>
      </c>
      <c r="C23" s="640">
        <v>45627</v>
      </c>
      <c r="D23" s="640">
        <v>45992</v>
      </c>
      <c r="E23" s="640">
        <v>46357</v>
      </c>
      <c r="F23" s="640">
        <v>46722</v>
      </c>
      <c r="G23" s="640">
        <v>47088</v>
      </c>
      <c r="H23" s="640">
        <v>47453</v>
      </c>
      <c r="I23" s="640">
        <v>47818</v>
      </c>
      <c r="J23" s="640">
        <v>48183</v>
      </c>
      <c r="K23" s="640">
        <v>48549</v>
      </c>
      <c r="L23" s="640">
        <v>48914</v>
      </c>
      <c r="M23" s="636"/>
    </row>
    <row r="24" spans="1:13">
      <c r="A24" s="638" t="s">
        <v>70</v>
      </c>
      <c r="B24" s="636"/>
      <c r="C24" s="638">
        <v>100</v>
      </c>
      <c r="D24" s="638">
        <v>105</v>
      </c>
      <c r="E24" s="638">
        <v>110</v>
      </c>
      <c r="F24" s="638">
        <v>115</v>
      </c>
      <c r="G24" s="638">
        <v>120</v>
      </c>
      <c r="H24" s="638">
        <v>125</v>
      </c>
      <c r="I24" s="638">
        <v>130</v>
      </c>
      <c r="J24" s="638">
        <v>135</v>
      </c>
      <c r="K24" s="638">
        <v>140</v>
      </c>
      <c r="L24" s="638">
        <v>145</v>
      </c>
      <c r="M24" s="636"/>
    </row>
    <row r="25" spans="1:13">
      <c r="A25" s="638" t="s">
        <v>367</v>
      </c>
      <c r="B25" s="636"/>
      <c r="C25" s="638">
        <v>8</v>
      </c>
      <c r="D25" s="638">
        <v>9</v>
      </c>
      <c r="E25" s="638">
        <v>10</v>
      </c>
      <c r="F25" s="638">
        <v>11</v>
      </c>
      <c r="G25" s="638">
        <v>12</v>
      </c>
      <c r="H25" s="638">
        <v>13</v>
      </c>
      <c r="I25" s="638">
        <v>14</v>
      </c>
      <c r="J25" s="638">
        <v>15</v>
      </c>
      <c r="K25" s="638">
        <v>16</v>
      </c>
      <c r="L25" s="638">
        <v>17</v>
      </c>
      <c r="M25" s="636"/>
    </row>
    <row r="26" spans="1:13">
      <c r="A26" s="638" t="s">
        <v>68</v>
      </c>
      <c r="B26" s="636"/>
      <c r="C26" s="638">
        <v>25</v>
      </c>
      <c r="D26" s="638">
        <v>27</v>
      </c>
      <c r="E26" s="638">
        <v>29</v>
      </c>
      <c r="F26" s="638">
        <v>31</v>
      </c>
      <c r="G26" s="638">
        <v>33</v>
      </c>
      <c r="H26" s="638">
        <v>35</v>
      </c>
      <c r="I26" s="638">
        <v>37</v>
      </c>
      <c r="J26" s="638">
        <v>39</v>
      </c>
      <c r="K26" s="638">
        <v>41</v>
      </c>
      <c r="L26" s="638">
        <v>43</v>
      </c>
      <c r="M26" s="636"/>
    </row>
    <row r="27" spans="1:13">
      <c r="A27" s="638" t="s">
        <v>1045</v>
      </c>
      <c r="B27" s="636"/>
      <c r="C27" s="638">
        <v>30</v>
      </c>
      <c r="D27" s="638">
        <v>31</v>
      </c>
      <c r="E27" s="638">
        <v>32</v>
      </c>
      <c r="F27" s="638">
        <v>33</v>
      </c>
      <c r="G27" s="638">
        <v>34</v>
      </c>
      <c r="H27" s="638">
        <v>35</v>
      </c>
      <c r="I27" s="638">
        <v>36</v>
      </c>
      <c r="J27" s="638">
        <v>37</v>
      </c>
      <c r="K27" s="638">
        <v>38</v>
      </c>
      <c r="L27" s="638">
        <v>39</v>
      </c>
      <c r="M27" s="636"/>
    </row>
    <row r="28" spans="1:13">
      <c r="A28" s="638" t="s">
        <v>1046</v>
      </c>
      <c r="B28" s="636"/>
      <c r="C28" s="638">
        <v>20</v>
      </c>
      <c r="D28" s="638">
        <v>21</v>
      </c>
      <c r="E28" s="638">
        <v>22</v>
      </c>
      <c r="F28" s="638">
        <v>23</v>
      </c>
      <c r="G28" s="638">
        <v>24</v>
      </c>
      <c r="H28" s="638">
        <v>25</v>
      </c>
      <c r="I28" s="638">
        <v>26</v>
      </c>
      <c r="J28" s="638">
        <v>27</v>
      </c>
      <c r="K28" s="638">
        <v>28</v>
      </c>
      <c r="L28" s="638">
        <v>29</v>
      </c>
      <c r="M28" s="636"/>
    </row>
    <row r="29" spans="1:13">
      <c r="A29" s="638" t="s">
        <v>1047</v>
      </c>
      <c r="B29" s="636"/>
      <c r="C29" s="638">
        <v>12</v>
      </c>
      <c r="D29" s="638">
        <v>13</v>
      </c>
      <c r="E29" s="638">
        <v>14</v>
      </c>
      <c r="F29" s="638">
        <v>15</v>
      </c>
      <c r="G29" s="638">
        <v>16</v>
      </c>
      <c r="H29" s="638">
        <v>17</v>
      </c>
      <c r="I29" s="638">
        <v>18</v>
      </c>
      <c r="J29" s="638">
        <v>19</v>
      </c>
      <c r="K29" s="638">
        <v>20</v>
      </c>
      <c r="L29" s="638">
        <v>21</v>
      </c>
      <c r="M29" s="636"/>
    </row>
    <row r="30" spans="1:13">
      <c r="A30" s="638"/>
      <c r="B30" s="636"/>
      <c r="C30" s="638"/>
      <c r="D30" s="638"/>
      <c r="E30" s="638"/>
      <c r="F30" s="638"/>
      <c r="G30" s="638"/>
      <c r="H30" s="638"/>
      <c r="I30" s="638"/>
      <c r="J30" s="638"/>
      <c r="K30" s="638"/>
      <c r="L30" s="638"/>
      <c r="M30" s="636"/>
    </row>
    <row r="31" spans="1:13">
      <c r="A31" s="638" t="s">
        <v>1048</v>
      </c>
      <c r="B31" s="638">
        <v>140</v>
      </c>
      <c r="C31" s="638">
        <v>147</v>
      </c>
      <c r="D31" s="638">
        <v>154</v>
      </c>
      <c r="E31" s="638">
        <v>161</v>
      </c>
      <c r="F31" s="638">
        <v>168</v>
      </c>
      <c r="G31" s="638">
        <v>175</v>
      </c>
      <c r="H31" s="638">
        <v>182</v>
      </c>
      <c r="I31" s="638">
        <v>189</v>
      </c>
      <c r="J31" s="638">
        <v>196</v>
      </c>
      <c r="K31" s="638">
        <v>203</v>
      </c>
      <c r="L31" s="638">
        <v>210</v>
      </c>
      <c r="M31" s="636"/>
    </row>
    <row r="32" spans="1:13">
      <c r="A32" s="638" t="s">
        <v>1049</v>
      </c>
      <c r="B32" s="638">
        <v>135</v>
      </c>
      <c r="C32" s="638">
        <v>140</v>
      </c>
      <c r="D32" s="638">
        <v>145</v>
      </c>
      <c r="E32" s="638">
        <v>150</v>
      </c>
      <c r="F32" s="638">
        <v>155</v>
      </c>
      <c r="G32" s="638">
        <v>160</v>
      </c>
      <c r="H32" s="638">
        <v>165</v>
      </c>
      <c r="I32" s="638">
        <v>170</v>
      </c>
      <c r="J32" s="638">
        <v>175</v>
      </c>
      <c r="K32" s="638">
        <v>180</v>
      </c>
      <c r="L32" s="638">
        <v>185</v>
      </c>
      <c r="M32" s="636"/>
    </row>
    <row r="33" spans="1:13">
      <c r="A33" s="638"/>
      <c r="B33" s="636"/>
      <c r="C33" s="636"/>
      <c r="D33" s="636"/>
      <c r="E33" s="636"/>
      <c r="F33" s="636"/>
      <c r="G33" s="636"/>
      <c r="H33" s="636"/>
      <c r="I33" s="636"/>
      <c r="J33" s="636"/>
      <c r="K33" s="636"/>
      <c r="L33" s="636"/>
      <c r="M33" s="636"/>
    </row>
    <row r="34" spans="1:13">
      <c r="A34" s="635" t="s">
        <v>1051</v>
      </c>
      <c r="B34" s="636"/>
      <c r="C34" s="638"/>
      <c r="D34" s="636"/>
      <c r="E34" s="636"/>
      <c r="F34" s="636"/>
      <c r="G34" s="636"/>
      <c r="H34" s="636"/>
      <c r="I34" s="636"/>
      <c r="J34" s="636"/>
      <c r="K34" s="636"/>
      <c r="L34" s="636"/>
      <c r="M34" s="636"/>
    </row>
    <row r="35" spans="1:13">
      <c r="A35" s="642" t="s">
        <v>1052</v>
      </c>
      <c r="B35" s="636"/>
      <c r="C35" s="638"/>
      <c r="D35" s="636"/>
      <c r="E35" s="636"/>
      <c r="F35" s="636"/>
      <c r="G35" s="636"/>
      <c r="H35" s="636"/>
      <c r="I35" s="636"/>
      <c r="J35" s="636"/>
      <c r="K35" s="636"/>
      <c r="L35" s="636"/>
      <c r="M35" s="636"/>
    </row>
    <row r="36" spans="1:13">
      <c r="A36" s="638" t="s">
        <v>1044</v>
      </c>
      <c r="B36" s="640">
        <v>45261</v>
      </c>
      <c r="C36" s="640">
        <v>45627</v>
      </c>
      <c r="D36" s="640">
        <v>45992</v>
      </c>
      <c r="E36" s="640">
        <v>46357</v>
      </c>
      <c r="F36" s="640">
        <v>46722</v>
      </c>
      <c r="G36" s="640">
        <v>47088</v>
      </c>
      <c r="H36" s="640">
        <v>47453</v>
      </c>
      <c r="I36" s="640">
        <v>47818</v>
      </c>
      <c r="J36" s="640">
        <v>48183</v>
      </c>
      <c r="K36" s="640">
        <v>48549</v>
      </c>
      <c r="L36" s="640">
        <v>48914</v>
      </c>
      <c r="M36" s="636"/>
    </row>
    <row r="37" spans="1:13">
      <c r="A37" s="638" t="s">
        <v>70</v>
      </c>
      <c r="B37" s="636"/>
      <c r="C37" s="638">
        <v>6</v>
      </c>
      <c r="D37" s="638">
        <v>12</v>
      </c>
      <c r="E37" s="638">
        <v>18</v>
      </c>
      <c r="F37" s="638">
        <v>24</v>
      </c>
      <c r="G37" s="638">
        <v>30</v>
      </c>
      <c r="H37" s="638">
        <v>36</v>
      </c>
      <c r="I37" s="638">
        <v>42</v>
      </c>
      <c r="J37" s="638">
        <v>48</v>
      </c>
      <c r="K37" s="638">
        <v>54</v>
      </c>
      <c r="L37" s="638">
        <v>60</v>
      </c>
      <c r="M37" s="636"/>
    </row>
    <row r="38" spans="1:13">
      <c r="A38" s="638" t="s">
        <v>367</v>
      </c>
      <c r="B38" s="636"/>
      <c r="C38" s="638">
        <v>1</v>
      </c>
      <c r="D38" s="638">
        <v>2</v>
      </c>
      <c r="E38" s="638">
        <v>3</v>
      </c>
      <c r="F38" s="638">
        <v>4</v>
      </c>
      <c r="G38" s="638">
        <v>5</v>
      </c>
      <c r="H38" s="638">
        <v>6</v>
      </c>
      <c r="I38" s="638">
        <v>7</v>
      </c>
      <c r="J38" s="638">
        <v>8</v>
      </c>
      <c r="K38" s="638">
        <v>9</v>
      </c>
      <c r="L38" s="638">
        <v>10</v>
      </c>
      <c r="M38" s="636"/>
    </row>
    <row r="39" spans="1:13">
      <c r="A39" s="638" t="s">
        <v>68</v>
      </c>
      <c r="B39" s="636"/>
      <c r="C39" s="638">
        <v>3</v>
      </c>
      <c r="D39" s="638">
        <v>6</v>
      </c>
      <c r="E39" s="638">
        <v>9</v>
      </c>
      <c r="F39" s="638">
        <v>12</v>
      </c>
      <c r="G39" s="638">
        <v>15</v>
      </c>
      <c r="H39" s="638">
        <v>18</v>
      </c>
      <c r="I39" s="638">
        <v>21</v>
      </c>
      <c r="J39" s="638">
        <v>24</v>
      </c>
      <c r="K39" s="638">
        <v>27</v>
      </c>
      <c r="L39" s="638">
        <v>30</v>
      </c>
      <c r="M39" s="636"/>
    </row>
    <row r="40" spans="1:13">
      <c r="A40" s="638" t="s">
        <v>1045</v>
      </c>
      <c r="B40" s="636"/>
      <c r="C40" s="638">
        <v>2</v>
      </c>
      <c r="D40" s="638">
        <v>4</v>
      </c>
      <c r="E40" s="638">
        <v>6</v>
      </c>
      <c r="F40" s="638">
        <v>8</v>
      </c>
      <c r="G40" s="638">
        <v>10</v>
      </c>
      <c r="H40" s="638">
        <v>12</v>
      </c>
      <c r="I40" s="638">
        <v>14</v>
      </c>
      <c r="J40" s="638">
        <v>16</v>
      </c>
      <c r="K40" s="638">
        <v>18</v>
      </c>
      <c r="L40" s="638">
        <v>20</v>
      </c>
      <c r="M40" s="636"/>
    </row>
    <row r="41" spans="1:13">
      <c r="A41" s="638" t="s">
        <v>1046</v>
      </c>
      <c r="B41" s="636"/>
      <c r="C41" s="638">
        <v>1</v>
      </c>
      <c r="D41" s="638">
        <v>2</v>
      </c>
      <c r="E41" s="638">
        <v>3</v>
      </c>
      <c r="F41" s="638">
        <v>4</v>
      </c>
      <c r="G41" s="638">
        <v>5</v>
      </c>
      <c r="H41" s="638">
        <v>6</v>
      </c>
      <c r="I41" s="638">
        <v>7</v>
      </c>
      <c r="J41" s="638">
        <v>8</v>
      </c>
      <c r="K41" s="638">
        <v>9</v>
      </c>
      <c r="L41" s="638">
        <v>10</v>
      </c>
      <c r="M41" s="636"/>
    </row>
    <row r="42" spans="1:13">
      <c r="A42" s="638" t="s">
        <v>1047</v>
      </c>
      <c r="B42" s="636"/>
      <c r="C42" s="638">
        <v>1</v>
      </c>
      <c r="D42" s="638">
        <v>2</v>
      </c>
      <c r="E42" s="638">
        <v>3</v>
      </c>
      <c r="F42" s="638">
        <v>4</v>
      </c>
      <c r="G42" s="638">
        <v>5</v>
      </c>
      <c r="H42" s="638">
        <v>6</v>
      </c>
      <c r="I42" s="638">
        <v>7</v>
      </c>
      <c r="J42" s="638">
        <v>8</v>
      </c>
      <c r="K42" s="638">
        <v>9</v>
      </c>
      <c r="L42" s="638">
        <v>10</v>
      </c>
      <c r="M42" s="636"/>
    </row>
    <row r="43" spans="1:13">
      <c r="A43" s="638"/>
      <c r="B43" s="636"/>
      <c r="C43" s="638"/>
      <c r="D43" s="636"/>
      <c r="E43" s="636"/>
      <c r="F43" s="636"/>
      <c r="G43" s="636"/>
      <c r="H43" s="636"/>
      <c r="I43" s="636"/>
      <c r="J43" s="636"/>
      <c r="K43" s="636"/>
      <c r="L43" s="636"/>
      <c r="M43" s="636"/>
    </row>
    <row r="44" spans="1:13">
      <c r="A44" s="638" t="s">
        <v>1048</v>
      </c>
      <c r="B44" s="638">
        <v>0</v>
      </c>
      <c r="C44" s="638">
        <v>-5</v>
      </c>
      <c r="D44" s="638">
        <v>-10</v>
      </c>
      <c r="E44" s="638">
        <v>-15</v>
      </c>
      <c r="F44" s="638">
        <v>-20</v>
      </c>
      <c r="G44" s="638">
        <v>-25</v>
      </c>
      <c r="H44" s="638">
        <v>-30</v>
      </c>
      <c r="I44" s="638">
        <v>-35</v>
      </c>
      <c r="J44" s="638">
        <v>-40</v>
      </c>
      <c r="K44" s="638">
        <v>-45</v>
      </c>
      <c r="L44" s="638">
        <v>-50</v>
      </c>
      <c r="M44" s="636"/>
    </row>
    <row r="45" spans="1:13">
      <c r="A45" s="638" t="s">
        <v>1049</v>
      </c>
      <c r="B45" s="638">
        <v>0</v>
      </c>
      <c r="C45" s="638">
        <v>2</v>
      </c>
      <c r="D45" s="638">
        <v>4</v>
      </c>
      <c r="E45" s="638">
        <v>6</v>
      </c>
      <c r="F45" s="638">
        <v>8</v>
      </c>
      <c r="G45" s="638">
        <v>10</v>
      </c>
      <c r="H45" s="638">
        <v>12</v>
      </c>
      <c r="I45" s="638">
        <v>14</v>
      </c>
      <c r="J45" s="638">
        <v>16</v>
      </c>
      <c r="K45" s="638">
        <v>18</v>
      </c>
      <c r="L45" s="638">
        <v>20</v>
      </c>
      <c r="M45" s="636"/>
    </row>
    <row r="46" spans="1:13">
      <c r="A46" s="638"/>
      <c r="B46" s="638"/>
      <c r="C46" s="638"/>
      <c r="D46" s="638"/>
      <c r="E46" s="638"/>
      <c r="F46" s="638"/>
      <c r="G46" s="638"/>
      <c r="H46" s="638"/>
      <c r="I46" s="638"/>
      <c r="J46" s="638"/>
      <c r="K46" s="638"/>
      <c r="L46" s="638"/>
      <c r="M46" s="636"/>
    </row>
    <row r="47" spans="1:13">
      <c r="A47" s="636"/>
      <c r="B47" s="636"/>
      <c r="C47" s="636"/>
      <c r="D47" s="636"/>
      <c r="E47" s="636"/>
      <c r="F47" s="636"/>
      <c r="G47" s="636"/>
      <c r="H47" s="636"/>
      <c r="I47" s="636"/>
      <c r="J47" s="636"/>
      <c r="K47" s="636"/>
      <c r="L47" s="636"/>
      <c r="M47" s="636"/>
    </row>
    <row r="48" spans="1:13">
      <c r="A48" s="636" t="s">
        <v>1053</v>
      </c>
      <c r="B48" s="636" t="s">
        <v>1054</v>
      </c>
      <c r="C48" s="636"/>
      <c r="D48" s="636"/>
      <c r="E48" s="636"/>
      <c r="F48" s="636"/>
      <c r="G48" s="636"/>
      <c r="H48" s="636"/>
      <c r="I48" s="636"/>
      <c r="J48" s="636"/>
      <c r="K48" s="636"/>
      <c r="L48" s="636"/>
      <c r="M48" s="636"/>
    </row>
    <row r="49" spans="1:13">
      <c r="A49" s="636" t="s">
        <v>59</v>
      </c>
      <c r="B49" s="643">
        <v>0.05</v>
      </c>
      <c r="C49" s="636"/>
      <c r="D49" s="636"/>
      <c r="E49" s="636"/>
      <c r="F49" s="636"/>
      <c r="G49" s="636"/>
      <c r="H49" s="636"/>
      <c r="I49" s="636"/>
      <c r="J49" s="636"/>
      <c r="K49" s="636"/>
      <c r="L49" s="636"/>
      <c r="M49" s="636"/>
    </row>
    <row r="52" spans="1:13">
      <c r="A52" s="601" t="s">
        <v>1055</v>
      </c>
    </row>
    <row r="53" spans="1:13">
      <c r="A53" s="347" t="s">
        <v>22</v>
      </c>
    </row>
    <row r="62" spans="1:13">
      <c r="A62" s="601" t="s">
        <v>1056</v>
      </c>
    </row>
    <row r="63" spans="1:13">
      <c r="A63" s="347" t="s">
        <v>22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B7B8-0F92-4B84-A3FC-2176E23497CB}">
  <sheetPr>
    <tabColor rgb="FFA9BDE9"/>
  </sheetPr>
  <dimension ref="A1:O60"/>
  <sheetViews>
    <sheetView topLeftCell="A31" workbookViewId="0">
      <selection activeCell="D46" sqref="D46:D47"/>
    </sheetView>
  </sheetViews>
  <sheetFormatPr defaultColWidth="8.77734375" defaultRowHeight="15.6"/>
  <cols>
    <col min="1" max="1" width="45.77734375" style="347" bestFit="1" customWidth="1"/>
    <col min="2" max="16384" width="8.77734375" style="347"/>
  </cols>
  <sheetData>
    <row r="1" spans="1:15">
      <c r="A1" s="601" t="s">
        <v>214</v>
      </c>
    </row>
    <row r="2" spans="1:15">
      <c r="A2" s="601" t="s">
        <v>1030</v>
      </c>
    </row>
    <row r="3" spans="1:15">
      <c r="A3" s="601" t="s">
        <v>1041</v>
      </c>
    </row>
    <row r="4" spans="1:15">
      <c r="A4" s="601"/>
    </row>
    <row r="5" spans="1:15">
      <c r="A5" s="635" t="s">
        <v>1042</v>
      </c>
      <c r="B5" s="636"/>
      <c r="C5" s="636"/>
      <c r="D5" s="636"/>
      <c r="E5" s="636"/>
      <c r="F5" s="636"/>
      <c r="G5" s="636"/>
      <c r="H5" s="636"/>
      <c r="I5" s="636"/>
      <c r="J5" s="636"/>
      <c r="K5" s="636"/>
      <c r="L5" s="636"/>
      <c r="M5" s="636"/>
    </row>
    <row r="6" spans="1:15" s="639" customFormat="1">
      <c r="A6" s="637" t="s">
        <v>1043</v>
      </c>
      <c r="B6" s="636"/>
      <c r="C6" s="638"/>
      <c r="D6" s="636"/>
      <c r="E6" s="636"/>
      <c r="F6" s="636"/>
      <c r="G6" s="636"/>
      <c r="H6" s="636"/>
      <c r="I6" s="636"/>
      <c r="J6" s="636"/>
      <c r="K6" s="636"/>
      <c r="L6" s="636"/>
      <c r="M6" s="636"/>
    </row>
    <row r="7" spans="1:15" s="639" customFormat="1">
      <c r="A7" s="638" t="s">
        <v>1044</v>
      </c>
      <c r="B7" s="640">
        <v>45261</v>
      </c>
      <c r="C7" s="640">
        <f t="shared" ref="C7:L7" si="0">EDATE(B7,12)</f>
        <v>45627</v>
      </c>
      <c r="D7" s="640">
        <f t="shared" si="0"/>
        <v>45992</v>
      </c>
      <c r="E7" s="640">
        <f t="shared" si="0"/>
        <v>46357</v>
      </c>
      <c r="F7" s="640">
        <f t="shared" si="0"/>
        <v>46722</v>
      </c>
      <c r="G7" s="640">
        <f t="shared" si="0"/>
        <v>47088</v>
      </c>
      <c r="H7" s="640">
        <f t="shared" si="0"/>
        <v>47453</v>
      </c>
      <c r="I7" s="640">
        <f t="shared" si="0"/>
        <v>47818</v>
      </c>
      <c r="J7" s="640">
        <f t="shared" si="0"/>
        <v>48183</v>
      </c>
      <c r="K7" s="640">
        <f t="shared" si="0"/>
        <v>48549</v>
      </c>
      <c r="L7" s="640">
        <f t="shared" si="0"/>
        <v>48914</v>
      </c>
      <c r="M7" s="636"/>
      <c r="O7" s="641"/>
    </row>
    <row r="8" spans="1:15" s="639" customFormat="1">
      <c r="A8" s="638" t="s">
        <v>70</v>
      </c>
      <c r="B8" s="636"/>
      <c r="C8" s="638">
        <v>100</v>
      </c>
      <c r="D8" s="638">
        <f t="shared" ref="D8:L8" si="1">C8+5</f>
        <v>105</v>
      </c>
      <c r="E8" s="638">
        <f t="shared" si="1"/>
        <v>110</v>
      </c>
      <c r="F8" s="638">
        <f t="shared" si="1"/>
        <v>115</v>
      </c>
      <c r="G8" s="638">
        <f t="shared" si="1"/>
        <v>120</v>
      </c>
      <c r="H8" s="638">
        <f t="shared" si="1"/>
        <v>125</v>
      </c>
      <c r="I8" s="638">
        <f t="shared" si="1"/>
        <v>130</v>
      </c>
      <c r="J8" s="638">
        <f t="shared" si="1"/>
        <v>135</v>
      </c>
      <c r="K8" s="638">
        <f t="shared" si="1"/>
        <v>140</v>
      </c>
      <c r="L8" s="638">
        <f t="shared" si="1"/>
        <v>145</v>
      </c>
      <c r="M8" s="636"/>
    </row>
    <row r="9" spans="1:15" s="639" customFormat="1">
      <c r="A9" s="638" t="s">
        <v>367</v>
      </c>
      <c r="B9" s="636"/>
      <c r="C9" s="638">
        <v>8</v>
      </c>
      <c r="D9" s="638">
        <f t="shared" ref="D9:L9" si="2">C9+1</f>
        <v>9</v>
      </c>
      <c r="E9" s="638">
        <f t="shared" si="2"/>
        <v>10</v>
      </c>
      <c r="F9" s="638">
        <f t="shared" si="2"/>
        <v>11</v>
      </c>
      <c r="G9" s="638">
        <f t="shared" si="2"/>
        <v>12</v>
      </c>
      <c r="H9" s="638">
        <f t="shared" si="2"/>
        <v>13</v>
      </c>
      <c r="I9" s="638">
        <f t="shared" si="2"/>
        <v>14</v>
      </c>
      <c r="J9" s="638">
        <f t="shared" si="2"/>
        <v>15</v>
      </c>
      <c r="K9" s="638">
        <f t="shared" si="2"/>
        <v>16</v>
      </c>
      <c r="L9" s="638">
        <f t="shared" si="2"/>
        <v>17</v>
      </c>
      <c r="M9" s="636"/>
    </row>
    <row r="10" spans="1:15" s="639" customFormat="1">
      <c r="A10" s="638" t="s">
        <v>68</v>
      </c>
      <c r="B10" s="636"/>
      <c r="C10" s="638">
        <v>25</v>
      </c>
      <c r="D10" s="638">
        <f t="shared" ref="D10:L10" si="3">C10+2</f>
        <v>27</v>
      </c>
      <c r="E10" s="638">
        <f t="shared" si="3"/>
        <v>29</v>
      </c>
      <c r="F10" s="638">
        <f t="shared" si="3"/>
        <v>31</v>
      </c>
      <c r="G10" s="638">
        <f t="shared" si="3"/>
        <v>33</v>
      </c>
      <c r="H10" s="638">
        <f t="shared" si="3"/>
        <v>35</v>
      </c>
      <c r="I10" s="638">
        <f t="shared" si="3"/>
        <v>37</v>
      </c>
      <c r="J10" s="638">
        <f t="shared" si="3"/>
        <v>39</v>
      </c>
      <c r="K10" s="638">
        <f t="shared" si="3"/>
        <v>41</v>
      </c>
      <c r="L10" s="638">
        <f t="shared" si="3"/>
        <v>43</v>
      </c>
      <c r="M10" s="636"/>
    </row>
    <row r="11" spans="1:15" s="639" customFormat="1">
      <c r="A11" s="638" t="s">
        <v>1045</v>
      </c>
      <c r="B11" s="636"/>
      <c r="C11" s="638">
        <v>30</v>
      </c>
      <c r="D11" s="638">
        <f t="shared" ref="D11:L13" si="4">C11+1</f>
        <v>31</v>
      </c>
      <c r="E11" s="638">
        <f t="shared" si="4"/>
        <v>32</v>
      </c>
      <c r="F11" s="638">
        <f t="shared" si="4"/>
        <v>33</v>
      </c>
      <c r="G11" s="638">
        <f t="shared" si="4"/>
        <v>34</v>
      </c>
      <c r="H11" s="638">
        <f t="shared" si="4"/>
        <v>35</v>
      </c>
      <c r="I11" s="638">
        <f t="shared" si="4"/>
        <v>36</v>
      </c>
      <c r="J11" s="638">
        <f t="shared" si="4"/>
        <v>37</v>
      </c>
      <c r="K11" s="638">
        <f t="shared" si="4"/>
        <v>38</v>
      </c>
      <c r="L11" s="638">
        <f t="shared" si="4"/>
        <v>39</v>
      </c>
      <c r="M11" s="636"/>
    </row>
    <row r="12" spans="1:15" s="639" customFormat="1">
      <c r="A12" s="638" t="s">
        <v>1046</v>
      </c>
      <c r="B12" s="636"/>
      <c r="C12" s="638">
        <v>20</v>
      </c>
      <c r="D12" s="638">
        <f t="shared" si="4"/>
        <v>21</v>
      </c>
      <c r="E12" s="638">
        <f t="shared" si="4"/>
        <v>22</v>
      </c>
      <c r="F12" s="638">
        <f t="shared" si="4"/>
        <v>23</v>
      </c>
      <c r="G12" s="638">
        <f t="shared" si="4"/>
        <v>24</v>
      </c>
      <c r="H12" s="638">
        <f t="shared" si="4"/>
        <v>25</v>
      </c>
      <c r="I12" s="638">
        <f t="shared" si="4"/>
        <v>26</v>
      </c>
      <c r="J12" s="638">
        <f t="shared" si="4"/>
        <v>27</v>
      </c>
      <c r="K12" s="638">
        <f t="shared" si="4"/>
        <v>28</v>
      </c>
      <c r="L12" s="638">
        <f t="shared" si="4"/>
        <v>29</v>
      </c>
      <c r="M12" s="636"/>
    </row>
    <row r="13" spans="1:15" s="639" customFormat="1">
      <c r="A13" s="638" t="s">
        <v>1047</v>
      </c>
      <c r="B13" s="636"/>
      <c r="C13" s="638">
        <v>12</v>
      </c>
      <c r="D13" s="638">
        <f t="shared" si="4"/>
        <v>13</v>
      </c>
      <c r="E13" s="638">
        <f t="shared" si="4"/>
        <v>14</v>
      </c>
      <c r="F13" s="638">
        <f t="shared" si="4"/>
        <v>15</v>
      </c>
      <c r="G13" s="638">
        <f t="shared" si="4"/>
        <v>16</v>
      </c>
      <c r="H13" s="638">
        <f t="shared" si="4"/>
        <v>17</v>
      </c>
      <c r="I13" s="638">
        <f t="shared" si="4"/>
        <v>18</v>
      </c>
      <c r="J13" s="638">
        <f t="shared" si="4"/>
        <v>19</v>
      </c>
      <c r="K13" s="638">
        <f t="shared" si="4"/>
        <v>20</v>
      </c>
      <c r="L13" s="638">
        <f t="shared" si="4"/>
        <v>21</v>
      </c>
      <c r="M13" s="636"/>
    </row>
    <row r="14" spans="1:15" s="639" customFormat="1">
      <c r="A14" s="638"/>
      <c r="B14" s="636"/>
      <c r="C14" s="638"/>
      <c r="D14" s="636"/>
      <c r="E14" s="636"/>
      <c r="F14" s="636"/>
      <c r="G14" s="636"/>
      <c r="H14" s="636"/>
      <c r="I14" s="636"/>
      <c r="J14" s="636"/>
      <c r="K14" s="636"/>
      <c r="L14" s="636"/>
      <c r="M14" s="636"/>
    </row>
    <row r="15" spans="1:15" s="639" customFormat="1">
      <c r="A15" s="638" t="s">
        <v>1048</v>
      </c>
      <c r="B15" s="638">
        <v>145</v>
      </c>
      <c r="C15" s="638">
        <f t="shared" ref="C15:L16" si="5">B15+5</f>
        <v>150</v>
      </c>
      <c r="D15" s="638">
        <f t="shared" si="5"/>
        <v>155</v>
      </c>
      <c r="E15" s="638">
        <f t="shared" si="5"/>
        <v>160</v>
      </c>
      <c r="F15" s="638">
        <f t="shared" si="5"/>
        <v>165</v>
      </c>
      <c r="G15" s="638">
        <f t="shared" si="5"/>
        <v>170</v>
      </c>
      <c r="H15" s="638">
        <f t="shared" si="5"/>
        <v>175</v>
      </c>
      <c r="I15" s="638">
        <f t="shared" si="5"/>
        <v>180</v>
      </c>
      <c r="J15" s="638">
        <f t="shared" si="5"/>
        <v>185</v>
      </c>
      <c r="K15" s="638">
        <f t="shared" si="5"/>
        <v>190</v>
      </c>
      <c r="L15" s="638">
        <f t="shared" si="5"/>
        <v>195</v>
      </c>
      <c r="M15" s="636"/>
    </row>
    <row r="16" spans="1:15" s="639" customFormat="1">
      <c r="A16" s="638" t="s">
        <v>1049</v>
      </c>
      <c r="B16" s="638">
        <v>135</v>
      </c>
      <c r="C16" s="638">
        <f t="shared" si="5"/>
        <v>140</v>
      </c>
      <c r="D16" s="638">
        <f t="shared" si="5"/>
        <v>145</v>
      </c>
      <c r="E16" s="638">
        <f t="shared" si="5"/>
        <v>150</v>
      </c>
      <c r="F16" s="638">
        <f t="shared" si="5"/>
        <v>155</v>
      </c>
      <c r="G16" s="638">
        <f t="shared" si="5"/>
        <v>160</v>
      </c>
      <c r="H16" s="638">
        <f t="shared" si="5"/>
        <v>165</v>
      </c>
      <c r="I16" s="638">
        <f t="shared" si="5"/>
        <v>170</v>
      </c>
      <c r="J16" s="638">
        <f t="shared" si="5"/>
        <v>175</v>
      </c>
      <c r="K16" s="638">
        <f t="shared" si="5"/>
        <v>180</v>
      </c>
      <c r="L16" s="638">
        <f t="shared" si="5"/>
        <v>185</v>
      </c>
      <c r="M16" s="636"/>
    </row>
    <row r="17" spans="1:13">
      <c r="A17" s="638"/>
      <c r="B17" s="638"/>
      <c r="C17" s="638"/>
      <c r="D17" s="638"/>
      <c r="E17" s="638"/>
      <c r="F17" s="638"/>
      <c r="G17" s="638"/>
      <c r="H17" s="638"/>
      <c r="I17" s="638"/>
      <c r="J17" s="638"/>
      <c r="K17" s="638"/>
      <c r="L17" s="638"/>
      <c r="M17" s="636"/>
    </row>
    <row r="18" spans="1:13">
      <c r="A18" s="637" t="s">
        <v>1050</v>
      </c>
      <c r="B18" s="638"/>
      <c r="C18" s="638"/>
      <c r="D18" s="636"/>
      <c r="E18" s="636"/>
      <c r="F18" s="636"/>
      <c r="G18" s="636"/>
      <c r="H18" s="636"/>
      <c r="I18" s="636"/>
      <c r="J18" s="636"/>
      <c r="K18" s="636"/>
      <c r="L18" s="636"/>
      <c r="M18" s="636"/>
    </row>
    <row r="19" spans="1:13">
      <c r="A19" s="638" t="s">
        <v>1044</v>
      </c>
      <c r="B19" s="640">
        <v>45261</v>
      </c>
      <c r="C19" s="640">
        <v>45627</v>
      </c>
      <c r="D19" s="640">
        <v>45992</v>
      </c>
      <c r="E19" s="640">
        <v>46357</v>
      </c>
      <c r="F19" s="640">
        <v>46722</v>
      </c>
      <c r="G19" s="640">
        <v>47088</v>
      </c>
      <c r="H19" s="640">
        <v>47453</v>
      </c>
      <c r="I19" s="640">
        <v>47818</v>
      </c>
      <c r="J19" s="640">
        <v>48183</v>
      </c>
      <c r="K19" s="640">
        <v>48549</v>
      </c>
      <c r="L19" s="640">
        <v>48914</v>
      </c>
      <c r="M19" s="636"/>
    </row>
    <row r="20" spans="1:13">
      <c r="A20" s="638" t="s">
        <v>70</v>
      </c>
      <c r="B20" s="636"/>
      <c r="C20" s="638">
        <v>100</v>
      </c>
      <c r="D20" s="638">
        <v>105</v>
      </c>
      <c r="E20" s="638">
        <v>110</v>
      </c>
      <c r="F20" s="638">
        <v>115</v>
      </c>
      <c r="G20" s="638">
        <v>120</v>
      </c>
      <c r="H20" s="638">
        <v>125</v>
      </c>
      <c r="I20" s="638">
        <v>130</v>
      </c>
      <c r="J20" s="638">
        <v>135</v>
      </c>
      <c r="K20" s="638">
        <v>140</v>
      </c>
      <c r="L20" s="638">
        <v>145</v>
      </c>
      <c r="M20" s="636"/>
    </row>
    <row r="21" spans="1:13">
      <c r="A21" s="638" t="s">
        <v>367</v>
      </c>
      <c r="B21" s="636"/>
      <c r="C21" s="638">
        <v>8</v>
      </c>
      <c r="D21" s="638">
        <v>9</v>
      </c>
      <c r="E21" s="638">
        <v>10</v>
      </c>
      <c r="F21" s="638">
        <v>11</v>
      </c>
      <c r="G21" s="638">
        <v>12</v>
      </c>
      <c r="H21" s="638">
        <v>13</v>
      </c>
      <c r="I21" s="638">
        <v>14</v>
      </c>
      <c r="J21" s="638">
        <v>15</v>
      </c>
      <c r="K21" s="638">
        <v>16</v>
      </c>
      <c r="L21" s="638">
        <v>17</v>
      </c>
      <c r="M21" s="636"/>
    </row>
    <row r="22" spans="1:13">
      <c r="A22" s="638" t="s">
        <v>68</v>
      </c>
      <c r="B22" s="636"/>
      <c r="C22" s="638">
        <v>25</v>
      </c>
      <c r="D22" s="638">
        <v>27</v>
      </c>
      <c r="E22" s="638">
        <v>29</v>
      </c>
      <c r="F22" s="638">
        <v>31</v>
      </c>
      <c r="G22" s="638">
        <v>33</v>
      </c>
      <c r="H22" s="638">
        <v>35</v>
      </c>
      <c r="I22" s="638">
        <v>37</v>
      </c>
      <c r="J22" s="638">
        <v>39</v>
      </c>
      <c r="K22" s="638">
        <v>41</v>
      </c>
      <c r="L22" s="638">
        <v>43</v>
      </c>
      <c r="M22" s="636"/>
    </row>
    <row r="23" spans="1:13">
      <c r="A23" s="638" t="s">
        <v>1045</v>
      </c>
      <c r="B23" s="636"/>
      <c r="C23" s="638">
        <v>30</v>
      </c>
      <c r="D23" s="638">
        <v>31</v>
      </c>
      <c r="E23" s="638">
        <v>32</v>
      </c>
      <c r="F23" s="638">
        <v>33</v>
      </c>
      <c r="G23" s="638">
        <v>34</v>
      </c>
      <c r="H23" s="638">
        <v>35</v>
      </c>
      <c r="I23" s="638">
        <v>36</v>
      </c>
      <c r="J23" s="638">
        <v>37</v>
      </c>
      <c r="K23" s="638">
        <v>38</v>
      </c>
      <c r="L23" s="638">
        <v>39</v>
      </c>
      <c r="M23" s="636"/>
    </row>
    <row r="24" spans="1:13">
      <c r="A24" s="638" t="s">
        <v>1046</v>
      </c>
      <c r="B24" s="636"/>
      <c r="C24" s="638">
        <v>20</v>
      </c>
      <c r="D24" s="638">
        <v>21</v>
      </c>
      <c r="E24" s="638">
        <v>22</v>
      </c>
      <c r="F24" s="638">
        <v>23</v>
      </c>
      <c r="G24" s="638">
        <v>24</v>
      </c>
      <c r="H24" s="638">
        <v>25</v>
      </c>
      <c r="I24" s="638">
        <v>26</v>
      </c>
      <c r="J24" s="638">
        <v>27</v>
      </c>
      <c r="K24" s="638">
        <v>28</v>
      </c>
      <c r="L24" s="638">
        <v>29</v>
      </c>
      <c r="M24" s="636"/>
    </row>
    <row r="25" spans="1:13">
      <c r="A25" s="638" t="s">
        <v>1047</v>
      </c>
      <c r="B25" s="636"/>
      <c r="C25" s="638">
        <v>12</v>
      </c>
      <c r="D25" s="638">
        <v>13</v>
      </c>
      <c r="E25" s="638">
        <v>14</v>
      </c>
      <c r="F25" s="638">
        <v>15</v>
      </c>
      <c r="G25" s="638">
        <v>16</v>
      </c>
      <c r="H25" s="638">
        <v>17</v>
      </c>
      <c r="I25" s="638">
        <v>18</v>
      </c>
      <c r="J25" s="638">
        <v>19</v>
      </c>
      <c r="K25" s="638">
        <v>20</v>
      </c>
      <c r="L25" s="638">
        <v>21</v>
      </c>
      <c r="M25" s="636"/>
    </row>
    <row r="26" spans="1:13">
      <c r="A26" s="638"/>
      <c r="B26" s="636"/>
      <c r="C26" s="638"/>
      <c r="D26" s="638"/>
      <c r="E26" s="638"/>
      <c r="F26" s="638"/>
      <c r="G26" s="638"/>
      <c r="H26" s="638"/>
      <c r="I26" s="638"/>
      <c r="J26" s="638"/>
      <c r="K26" s="638"/>
      <c r="L26" s="638"/>
      <c r="M26" s="636"/>
    </row>
    <row r="27" spans="1:13">
      <c r="A27" s="638" t="s">
        <v>1048</v>
      </c>
      <c r="B27" s="638">
        <v>140</v>
      </c>
      <c r="C27" s="638">
        <v>147</v>
      </c>
      <c r="D27" s="638">
        <v>154</v>
      </c>
      <c r="E27" s="638">
        <v>161</v>
      </c>
      <c r="F27" s="638">
        <v>168</v>
      </c>
      <c r="G27" s="638">
        <v>175</v>
      </c>
      <c r="H27" s="638">
        <v>182</v>
      </c>
      <c r="I27" s="638">
        <v>189</v>
      </c>
      <c r="J27" s="638">
        <v>196</v>
      </c>
      <c r="K27" s="638">
        <v>203</v>
      </c>
      <c r="L27" s="638">
        <v>210</v>
      </c>
      <c r="M27" s="636"/>
    </row>
    <row r="28" spans="1:13">
      <c r="A28" s="638" t="s">
        <v>1049</v>
      </c>
      <c r="B28" s="638">
        <v>135</v>
      </c>
      <c r="C28" s="638">
        <v>140</v>
      </c>
      <c r="D28" s="638">
        <v>145</v>
      </c>
      <c r="E28" s="638">
        <v>150</v>
      </c>
      <c r="F28" s="638">
        <v>155</v>
      </c>
      <c r="G28" s="638">
        <v>160</v>
      </c>
      <c r="H28" s="638">
        <v>165</v>
      </c>
      <c r="I28" s="638">
        <v>170</v>
      </c>
      <c r="J28" s="638">
        <v>175</v>
      </c>
      <c r="K28" s="638">
        <v>180</v>
      </c>
      <c r="L28" s="638">
        <v>185</v>
      </c>
      <c r="M28" s="636"/>
    </row>
    <row r="29" spans="1:13">
      <c r="A29" s="638"/>
      <c r="B29" s="636"/>
      <c r="C29" s="636"/>
      <c r="D29" s="636"/>
      <c r="E29" s="636"/>
      <c r="F29" s="636"/>
      <c r="G29" s="636"/>
      <c r="H29" s="636"/>
      <c r="I29" s="636"/>
      <c r="J29" s="636"/>
      <c r="K29" s="636"/>
      <c r="L29" s="636"/>
      <c r="M29" s="636"/>
    </row>
    <row r="30" spans="1:13">
      <c r="A30" s="635" t="s">
        <v>1051</v>
      </c>
      <c r="B30" s="636"/>
      <c r="C30" s="638"/>
      <c r="D30" s="636"/>
      <c r="E30" s="636"/>
      <c r="F30" s="636"/>
      <c r="G30" s="636"/>
      <c r="H30" s="636"/>
      <c r="I30" s="636"/>
      <c r="J30" s="636"/>
      <c r="K30" s="636"/>
      <c r="L30" s="636"/>
      <c r="M30" s="636"/>
    </row>
    <row r="31" spans="1:13">
      <c r="A31" s="642" t="s">
        <v>1052</v>
      </c>
      <c r="B31" s="636"/>
      <c r="C31" s="638"/>
      <c r="D31" s="636"/>
      <c r="E31" s="636"/>
      <c r="F31" s="636"/>
      <c r="G31" s="636"/>
      <c r="H31" s="636"/>
      <c r="I31" s="636"/>
      <c r="J31" s="636"/>
      <c r="K31" s="636"/>
      <c r="L31" s="636"/>
      <c r="M31" s="636"/>
    </row>
    <row r="32" spans="1:13">
      <c r="A32" s="638" t="s">
        <v>1044</v>
      </c>
      <c r="B32" s="640">
        <v>45261</v>
      </c>
      <c r="C32" s="640">
        <v>45627</v>
      </c>
      <c r="D32" s="640">
        <v>45992</v>
      </c>
      <c r="E32" s="640">
        <v>46357</v>
      </c>
      <c r="F32" s="640">
        <v>46722</v>
      </c>
      <c r="G32" s="640">
        <v>47088</v>
      </c>
      <c r="H32" s="640">
        <v>47453</v>
      </c>
      <c r="I32" s="640">
        <v>47818</v>
      </c>
      <c r="J32" s="640">
        <v>48183</v>
      </c>
      <c r="K32" s="640">
        <v>48549</v>
      </c>
      <c r="L32" s="640">
        <v>48914</v>
      </c>
      <c r="M32" s="636"/>
    </row>
    <row r="33" spans="1:13">
      <c r="A33" s="638" t="s">
        <v>70</v>
      </c>
      <c r="B33" s="636"/>
      <c r="C33" s="638">
        <v>6</v>
      </c>
      <c r="D33" s="638">
        <v>12</v>
      </c>
      <c r="E33" s="638">
        <v>18</v>
      </c>
      <c r="F33" s="638">
        <v>24</v>
      </c>
      <c r="G33" s="638">
        <v>30</v>
      </c>
      <c r="H33" s="638">
        <v>36</v>
      </c>
      <c r="I33" s="638">
        <v>42</v>
      </c>
      <c r="J33" s="638">
        <v>48</v>
      </c>
      <c r="K33" s="638">
        <v>54</v>
      </c>
      <c r="L33" s="638">
        <v>60</v>
      </c>
      <c r="M33" s="636"/>
    </row>
    <row r="34" spans="1:13">
      <c r="A34" s="638" t="s">
        <v>367</v>
      </c>
      <c r="B34" s="636"/>
      <c r="C34" s="638">
        <v>1</v>
      </c>
      <c r="D34" s="638">
        <v>2</v>
      </c>
      <c r="E34" s="638">
        <v>3</v>
      </c>
      <c r="F34" s="638">
        <v>4</v>
      </c>
      <c r="G34" s="638">
        <v>5</v>
      </c>
      <c r="H34" s="638">
        <v>6</v>
      </c>
      <c r="I34" s="638">
        <v>7</v>
      </c>
      <c r="J34" s="638">
        <v>8</v>
      </c>
      <c r="K34" s="638">
        <v>9</v>
      </c>
      <c r="L34" s="638">
        <v>10</v>
      </c>
      <c r="M34" s="636"/>
    </row>
    <row r="35" spans="1:13">
      <c r="A35" s="638" t="s">
        <v>68</v>
      </c>
      <c r="B35" s="636"/>
      <c r="C35" s="638">
        <v>3</v>
      </c>
      <c r="D35" s="638">
        <v>6</v>
      </c>
      <c r="E35" s="638">
        <v>9</v>
      </c>
      <c r="F35" s="638">
        <v>12</v>
      </c>
      <c r="G35" s="638">
        <v>15</v>
      </c>
      <c r="H35" s="638">
        <v>18</v>
      </c>
      <c r="I35" s="638">
        <v>21</v>
      </c>
      <c r="J35" s="638">
        <v>24</v>
      </c>
      <c r="K35" s="638">
        <v>27</v>
      </c>
      <c r="L35" s="638">
        <v>30</v>
      </c>
      <c r="M35" s="636"/>
    </row>
    <row r="36" spans="1:13">
      <c r="A36" s="638" t="s">
        <v>1045</v>
      </c>
      <c r="B36" s="636"/>
      <c r="C36" s="638">
        <v>2</v>
      </c>
      <c r="D36" s="638">
        <v>4</v>
      </c>
      <c r="E36" s="638">
        <v>6</v>
      </c>
      <c r="F36" s="638">
        <v>8</v>
      </c>
      <c r="G36" s="638">
        <v>10</v>
      </c>
      <c r="H36" s="638">
        <v>12</v>
      </c>
      <c r="I36" s="638">
        <v>14</v>
      </c>
      <c r="J36" s="638">
        <v>16</v>
      </c>
      <c r="K36" s="638">
        <v>18</v>
      </c>
      <c r="L36" s="638">
        <v>20</v>
      </c>
      <c r="M36" s="636"/>
    </row>
    <row r="37" spans="1:13">
      <c r="A37" s="638" t="s">
        <v>1046</v>
      </c>
      <c r="B37" s="636"/>
      <c r="C37" s="638">
        <v>1</v>
      </c>
      <c r="D37" s="638">
        <v>2</v>
      </c>
      <c r="E37" s="638">
        <v>3</v>
      </c>
      <c r="F37" s="638">
        <v>4</v>
      </c>
      <c r="G37" s="638">
        <v>5</v>
      </c>
      <c r="H37" s="638">
        <v>6</v>
      </c>
      <c r="I37" s="638">
        <v>7</v>
      </c>
      <c r="J37" s="638">
        <v>8</v>
      </c>
      <c r="K37" s="638">
        <v>9</v>
      </c>
      <c r="L37" s="638">
        <v>10</v>
      </c>
      <c r="M37" s="636"/>
    </row>
    <row r="38" spans="1:13">
      <c r="A38" s="638" t="s">
        <v>1047</v>
      </c>
      <c r="B38" s="636"/>
      <c r="C38" s="638">
        <v>1</v>
      </c>
      <c r="D38" s="638">
        <v>2</v>
      </c>
      <c r="E38" s="638">
        <v>3</v>
      </c>
      <c r="F38" s="638">
        <v>4</v>
      </c>
      <c r="G38" s="638">
        <v>5</v>
      </c>
      <c r="H38" s="638">
        <v>6</v>
      </c>
      <c r="I38" s="638">
        <v>7</v>
      </c>
      <c r="J38" s="638">
        <v>8</v>
      </c>
      <c r="K38" s="638">
        <v>9</v>
      </c>
      <c r="L38" s="638">
        <v>10</v>
      </c>
      <c r="M38" s="636"/>
    </row>
    <row r="39" spans="1:13">
      <c r="A39" s="638"/>
      <c r="B39" s="636"/>
      <c r="C39" s="638"/>
      <c r="D39" s="636"/>
      <c r="E39" s="636"/>
      <c r="F39" s="636"/>
      <c r="G39" s="636"/>
      <c r="H39" s="636"/>
      <c r="I39" s="636"/>
      <c r="J39" s="636"/>
      <c r="K39" s="636"/>
      <c r="L39" s="636"/>
      <c r="M39" s="636"/>
    </row>
    <row r="40" spans="1:13">
      <c r="A40" s="638" t="s">
        <v>1048</v>
      </c>
      <c r="B40" s="638">
        <v>0</v>
      </c>
      <c r="C40" s="638">
        <v>-5</v>
      </c>
      <c r="D40" s="638">
        <v>-10</v>
      </c>
      <c r="E40" s="638">
        <v>-15</v>
      </c>
      <c r="F40" s="638">
        <v>-20</v>
      </c>
      <c r="G40" s="638">
        <v>-25</v>
      </c>
      <c r="H40" s="638">
        <v>-30</v>
      </c>
      <c r="I40" s="638">
        <v>-35</v>
      </c>
      <c r="J40" s="638">
        <v>-40</v>
      </c>
      <c r="K40" s="638">
        <v>-45</v>
      </c>
      <c r="L40" s="638">
        <v>-50</v>
      </c>
      <c r="M40" s="636"/>
    </row>
    <row r="41" spans="1:13">
      <c r="A41" s="638" t="s">
        <v>1049</v>
      </c>
      <c r="B41" s="638">
        <v>0</v>
      </c>
      <c r="C41" s="638">
        <v>2</v>
      </c>
      <c r="D41" s="638">
        <v>4</v>
      </c>
      <c r="E41" s="638">
        <v>6</v>
      </c>
      <c r="F41" s="638">
        <v>8</v>
      </c>
      <c r="G41" s="638">
        <v>10</v>
      </c>
      <c r="H41" s="638">
        <v>12</v>
      </c>
      <c r="I41" s="638">
        <v>14</v>
      </c>
      <c r="J41" s="638">
        <v>16</v>
      </c>
      <c r="K41" s="638">
        <v>18</v>
      </c>
      <c r="L41" s="638">
        <v>20</v>
      </c>
      <c r="M41" s="636"/>
    </row>
    <row r="42" spans="1:13">
      <c r="A42" s="638"/>
      <c r="B42" s="638"/>
      <c r="C42" s="638"/>
      <c r="D42" s="638"/>
      <c r="E42" s="638"/>
      <c r="F42" s="638"/>
      <c r="G42" s="638"/>
      <c r="H42" s="638"/>
      <c r="I42" s="638"/>
      <c r="J42" s="638"/>
      <c r="K42" s="638"/>
      <c r="L42" s="638"/>
      <c r="M42" s="636"/>
    </row>
    <row r="43" spans="1:13">
      <c r="A43" s="636"/>
      <c r="B43" s="636"/>
      <c r="C43" s="636"/>
      <c r="D43" s="636"/>
      <c r="E43" s="636"/>
      <c r="F43" s="636"/>
      <c r="G43" s="636"/>
      <c r="H43" s="636"/>
      <c r="I43" s="636"/>
      <c r="J43" s="636"/>
      <c r="K43" s="636"/>
      <c r="L43" s="636"/>
      <c r="M43" s="636"/>
    </row>
    <row r="44" spans="1:13">
      <c r="A44" s="636" t="s">
        <v>1053</v>
      </c>
      <c r="B44" s="636" t="s">
        <v>1054</v>
      </c>
      <c r="C44" s="636"/>
      <c r="D44" s="636"/>
      <c r="E44" s="636"/>
      <c r="F44" s="636"/>
      <c r="G44" s="636"/>
      <c r="H44" s="636"/>
      <c r="I44" s="636"/>
      <c r="J44" s="636"/>
      <c r="K44" s="636"/>
      <c r="L44" s="636"/>
      <c r="M44" s="636"/>
    </row>
    <row r="45" spans="1:13">
      <c r="A45" s="636" t="s">
        <v>59</v>
      </c>
      <c r="B45" s="643">
        <v>0.05</v>
      </c>
      <c r="C45" s="636"/>
      <c r="D45" s="636"/>
      <c r="E45" s="636"/>
      <c r="F45" s="636"/>
      <c r="G45" s="636"/>
      <c r="H45" s="636"/>
      <c r="I45" s="636"/>
      <c r="J45" s="636"/>
      <c r="K45" s="636"/>
      <c r="L45" s="636"/>
      <c r="M45" s="636"/>
    </row>
    <row r="48" spans="1:13">
      <c r="A48" s="601" t="s">
        <v>1055</v>
      </c>
    </row>
    <row r="49" spans="1:12">
      <c r="A49" s="347" t="s">
        <v>22</v>
      </c>
    </row>
    <row r="50" spans="1:12">
      <c r="A50" s="446" t="s">
        <v>1044</v>
      </c>
      <c r="B50" s="672">
        <v>45261</v>
      </c>
      <c r="C50" s="672">
        <v>45627</v>
      </c>
      <c r="D50" s="672">
        <v>45992</v>
      </c>
      <c r="E50" s="672">
        <v>46357</v>
      </c>
      <c r="F50" s="672">
        <v>46722</v>
      </c>
      <c r="G50" s="672">
        <v>47088</v>
      </c>
      <c r="H50" s="672">
        <v>47453</v>
      </c>
      <c r="I50" s="672">
        <v>47818</v>
      </c>
      <c r="J50" s="672">
        <v>48183</v>
      </c>
      <c r="K50" s="672">
        <v>48549</v>
      </c>
      <c r="L50" s="672">
        <v>48914</v>
      </c>
    </row>
    <row r="51" spans="1:12">
      <c r="A51" s="446" t="s">
        <v>645</v>
      </c>
      <c r="B51" s="446"/>
      <c r="C51" s="673">
        <f t="shared" ref="C51:L51" si="6">(1+$B$45)^-(YEAR(C7)-YEAR($B7))</f>
        <v>0.95238095238095233</v>
      </c>
      <c r="D51" s="673">
        <f t="shared" si="6"/>
        <v>0.90702947845804982</v>
      </c>
      <c r="E51" s="673">
        <f t="shared" si="6"/>
        <v>0.86383759853147601</v>
      </c>
      <c r="F51" s="673">
        <f t="shared" si="6"/>
        <v>0.82270247479188197</v>
      </c>
      <c r="G51" s="673">
        <f t="shared" si="6"/>
        <v>0.78352616646845896</v>
      </c>
      <c r="H51" s="673">
        <f t="shared" si="6"/>
        <v>0.74621539663662761</v>
      </c>
      <c r="I51" s="673">
        <f t="shared" si="6"/>
        <v>0.71068133013012147</v>
      </c>
      <c r="J51" s="673">
        <f t="shared" si="6"/>
        <v>0.67683936202868722</v>
      </c>
      <c r="K51" s="673">
        <f t="shared" si="6"/>
        <v>0.64460891621779726</v>
      </c>
      <c r="L51" s="673">
        <f t="shared" si="6"/>
        <v>0.61391325354075932</v>
      </c>
    </row>
    <row r="52" spans="1:12">
      <c r="A52" s="446" t="s">
        <v>1112</v>
      </c>
      <c r="B52" s="446"/>
      <c r="C52" s="446">
        <f t="shared" ref="C52:L52" si="7">C20+C21-C22-(C27-B27)-C23-C24-C25-(C28-B28)</f>
        <v>9</v>
      </c>
      <c r="D52" s="446">
        <f t="shared" si="7"/>
        <v>10</v>
      </c>
      <c r="E52" s="446">
        <f t="shared" si="7"/>
        <v>11</v>
      </c>
      <c r="F52" s="446">
        <f t="shared" si="7"/>
        <v>12</v>
      </c>
      <c r="G52" s="446">
        <f t="shared" si="7"/>
        <v>13</v>
      </c>
      <c r="H52" s="446">
        <f t="shared" si="7"/>
        <v>14</v>
      </c>
      <c r="I52" s="446">
        <f t="shared" si="7"/>
        <v>15</v>
      </c>
      <c r="J52" s="446">
        <f t="shared" si="7"/>
        <v>16</v>
      </c>
      <c r="K52" s="446">
        <f t="shared" si="7"/>
        <v>17</v>
      </c>
      <c r="L52" s="446">
        <f t="shared" si="7"/>
        <v>18</v>
      </c>
    </row>
    <row r="53" spans="1:12">
      <c r="A53" s="481" t="s">
        <v>1113</v>
      </c>
      <c r="B53" s="674">
        <f>SUMPRODUCT(C51:L51,C52:L52)</f>
        <v>101.14766223820767</v>
      </c>
      <c r="C53" s="446"/>
      <c r="D53" s="446"/>
      <c r="E53" s="446"/>
      <c r="F53" s="446"/>
      <c r="G53" s="446"/>
      <c r="H53" s="446"/>
      <c r="I53" s="446"/>
      <c r="J53" s="446"/>
      <c r="K53" s="446"/>
      <c r="L53" s="446"/>
    </row>
    <row r="56" spans="1:12">
      <c r="A56" s="601" t="s">
        <v>1056</v>
      </c>
    </row>
    <row r="57" spans="1:12">
      <c r="A57" s="347" t="s">
        <v>22</v>
      </c>
    </row>
    <row r="58" spans="1:12">
      <c r="A58" s="446" t="s">
        <v>1114</v>
      </c>
      <c r="B58" s="446"/>
      <c r="C58" s="675">
        <f t="shared" ref="C58:L58" si="8">C33+C34-C35-(C40-B40)-C36-C37-C38-(C41-B41)</f>
        <v>3</v>
      </c>
      <c r="D58" s="675">
        <f t="shared" si="8"/>
        <v>3</v>
      </c>
      <c r="E58" s="675">
        <f t="shared" si="8"/>
        <v>3</v>
      </c>
      <c r="F58" s="675">
        <f t="shared" si="8"/>
        <v>3</v>
      </c>
      <c r="G58" s="675">
        <f t="shared" si="8"/>
        <v>3</v>
      </c>
      <c r="H58" s="675">
        <f t="shared" si="8"/>
        <v>3</v>
      </c>
      <c r="I58" s="675">
        <f t="shared" si="8"/>
        <v>3</v>
      </c>
      <c r="J58" s="675">
        <f t="shared" si="8"/>
        <v>3</v>
      </c>
      <c r="K58" s="675">
        <f t="shared" si="8"/>
        <v>3</v>
      </c>
      <c r="L58" s="675">
        <f t="shared" si="8"/>
        <v>3</v>
      </c>
    </row>
    <row r="59" spans="1:12">
      <c r="A59" s="446" t="s">
        <v>1115</v>
      </c>
      <c r="B59" s="676">
        <f>SUMPRODUCT(C51:L51,C58:L58)</f>
        <v>23.165204787554437</v>
      </c>
      <c r="C59" s="446"/>
      <c r="D59" s="446"/>
      <c r="E59" s="446"/>
      <c r="F59" s="446"/>
      <c r="G59" s="446"/>
      <c r="H59" s="446"/>
      <c r="I59" s="446"/>
      <c r="J59" s="446"/>
      <c r="K59" s="446"/>
      <c r="L59" s="446"/>
    </row>
    <row r="60" spans="1:12">
      <c r="A60" s="481" t="s">
        <v>1116</v>
      </c>
      <c r="B60" s="674">
        <f>B53-B59</f>
        <v>77.982457450653243</v>
      </c>
      <c r="C60" s="446"/>
      <c r="D60" s="446"/>
      <c r="E60" s="446"/>
      <c r="F60" s="446"/>
      <c r="G60" s="446"/>
      <c r="H60" s="446"/>
      <c r="I60" s="446"/>
      <c r="J60" s="446"/>
      <c r="K60" s="446"/>
      <c r="L60" s="446"/>
    </row>
  </sheetData>
  <pageMargins left="0.7" right="0.7" top="0.75" bottom="0.75" header="0.3" footer="0.3"/>
  <headerFooter>
    <oddFooter>&amp;C_x000D_&amp;1#&amp;"Calibri"&amp;10&amp;K000000 CONFIDENTIAL</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217B-2E94-400F-93CD-C7763EF2BD90}">
  <sheetPr>
    <tabColor rgb="FFD9E2F5"/>
  </sheetPr>
  <dimension ref="A1:E18"/>
  <sheetViews>
    <sheetView workbookViewId="0">
      <selection activeCell="K10" sqref="K10"/>
    </sheetView>
  </sheetViews>
  <sheetFormatPr defaultColWidth="8.77734375" defaultRowHeight="15.6"/>
  <cols>
    <col min="1" max="1" width="8.77734375" style="347"/>
    <col min="2" max="2" width="48.77734375" style="347" customWidth="1"/>
    <col min="3" max="3" width="11.21875" style="347" customWidth="1"/>
    <col min="4" max="4" width="9.21875" style="347" customWidth="1"/>
    <col min="5" max="5" width="10.21875" style="347" customWidth="1"/>
    <col min="6" max="16384" width="8.77734375" style="347"/>
  </cols>
  <sheetData>
    <row r="1" spans="1:5">
      <c r="A1" s="601" t="s">
        <v>1057</v>
      </c>
    </row>
    <row r="2" spans="1:5">
      <c r="A2" s="601" t="s">
        <v>1058</v>
      </c>
    </row>
    <row r="3" spans="1:5">
      <c r="A3" s="601" t="s">
        <v>334</v>
      </c>
    </row>
    <row r="5" spans="1:5">
      <c r="A5" s="601" t="s">
        <v>1059</v>
      </c>
    </row>
    <row r="6" spans="1:5">
      <c r="A6" s="601"/>
    </row>
    <row r="7" spans="1:5">
      <c r="A7" s="601" t="s">
        <v>1060</v>
      </c>
    </row>
    <row r="9" spans="1:5">
      <c r="A9" s="601" t="s">
        <v>1061</v>
      </c>
    </row>
    <row r="10" spans="1:5">
      <c r="B10" s="603"/>
      <c r="C10" s="603" t="s">
        <v>1062</v>
      </c>
      <c r="D10" s="603" t="s">
        <v>1063</v>
      </c>
      <c r="E10" s="603" t="s">
        <v>1064</v>
      </c>
    </row>
    <row r="11" spans="1:5">
      <c r="B11" s="603" t="s">
        <v>1065</v>
      </c>
      <c r="C11" s="644"/>
      <c r="D11" s="620">
        <v>1250</v>
      </c>
      <c r="E11" s="620">
        <v>-1695</v>
      </c>
    </row>
    <row r="12" spans="1:5">
      <c r="B12" s="603" t="s">
        <v>935</v>
      </c>
      <c r="C12" s="644"/>
      <c r="D12" s="620">
        <v>-1250</v>
      </c>
      <c r="E12" s="620">
        <v>1250</v>
      </c>
    </row>
    <row r="13" spans="1:5">
      <c r="B13" s="603" t="s">
        <v>1066</v>
      </c>
      <c r="C13" s="644"/>
      <c r="D13" s="602">
        <v>0</v>
      </c>
      <c r="E13" s="644"/>
    </row>
    <row r="14" spans="1:5">
      <c r="B14" s="603" t="s">
        <v>760</v>
      </c>
      <c r="C14" s="644"/>
      <c r="D14" s="602">
        <v>-320</v>
      </c>
      <c r="E14" s="602">
        <v>320</v>
      </c>
    </row>
    <row r="15" spans="1:5">
      <c r="B15" s="603" t="s">
        <v>1067</v>
      </c>
      <c r="C15" s="644"/>
      <c r="D15" s="644"/>
      <c r="E15" s="602">
        <v>125</v>
      </c>
    </row>
    <row r="16" spans="1:5">
      <c r="B16" s="603" t="s">
        <v>1068</v>
      </c>
      <c r="C16" s="644"/>
      <c r="D16" s="644"/>
      <c r="E16" s="644"/>
    </row>
    <row r="17" spans="2:5">
      <c r="B17" s="603" t="s">
        <v>1069</v>
      </c>
      <c r="C17" s="644"/>
      <c r="D17" s="644"/>
      <c r="E17" s="644"/>
    </row>
    <row r="18" spans="2:5">
      <c r="B18" s="603" t="s">
        <v>1070</v>
      </c>
      <c r="C18" s="644"/>
      <c r="D18" s="644"/>
      <c r="E18" s="6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82BE-D30A-4B12-9457-1F06413271B5}">
  <sheetPr>
    <tabColor theme="8" tint="0.79998168889431442"/>
  </sheetPr>
  <dimension ref="A1:L50"/>
  <sheetViews>
    <sheetView workbookViewId="0">
      <selection activeCell="B14" sqref="B14"/>
    </sheetView>
  </sheetViews>
  <sheetFormatPr defaultColWidth="8.77734375" defaultRowHeight="13.8"/>
  <cols>
    <col min="1" max="1" width="14.33203125" style="59" customWidth="1"/>
    <col min="2" max="2" width="20.77734375" style="59" customWidth="1"/>
    <col min="3" max="3" width="15.77734375" style="59" customWidth="1"/>
    <col min="4" max="4" width="15.109375" style="59" customWidth="1"/>
    <col min="5" max="6" width="13.21875" style="59" customWidth="1"/>
    <col min="7" max="16384" width="8.77734375" style="59"/>
  </cols>
  <sheetData>
    <row r="1" spans="1:11" ht="17.399999999999999">
      <c r="A1" s="88" t="s">
        <v>214</v>
      </c>
      <c r="B1" s="123"/>
      <c r="C1" s="123"/>
      <c r="D1" s="123"/>
      <c r="E1" s="123"/>
      <c r="F1" s="123"/>
      <c r="G1" s="123"/>
      <c r="H1" s="123"/>
      <c r="I1" s="123"/>
      <c r="J1" s="123"/>
      <c r="K1" s="123"/>
    </row>
    <row r="2" spans="1:11" ht="15.6">
      <c r="A2" s="90" t="s">
        <v>215</v>
      </c>
      <c r="B2" s="123"/>
      <c r="C2" s="123"/>
      <c r="D2" s="123"/>
      <c r="E2" s="123"/>
      <c r="F2" s="123"/>
      <c r="G2" s="123"/>
      <c r="H2" s="123"/>
      <c r="I2" s="123"/>
      <c r="J2" s="123"/>
      <c r="K2" s="123"/>
    </row>
    <row r="3" spans="1:11" ht="17.399999999999999">
      <c r="A3" s="88"/>
      <c r="B3" s="123"/>
      <c r="C3" s="123"/>
      <c r="D3" s="123"/>
      <c r="E3" s="123"/>
      <c r="F3" s="123"/>
      <c r="G3" s="123"/>
      <c r="H3" s="123"/>
      <c r="I3" s="123"/>
      <c r="J3" s="123"/>
      <c r="K3" s="123"/>
    </row>
    <row r="4" spans="1:11" ht="15.6">
      <c r="A4" s="124" t="s">
        <v>216</v>
      </c>
      <c r="B4" s="125"/>
      <c r="C4" s="125"/>
      <c r="D4" s="125"/>
      <c r="E4" s="125"/>
      <c r="F4" s="125"/>
      <c r="G4" s="125"/>
      <c r="H4" s="123"/>
      <c r="I4" s="123"/>
      <c r="J4" s="123"/>
      <c r="K4" s="123"/>
    </row>
    <row r="5" spans="1:11" ht="16.2" thickBot="1">
      <c r="A5" s="122"/>
      <c r="B5" s="125"/>
      <c r="C5" s="125"/>
      <c r="D5" s="125"/>
      <c r="E5" s="125"/>
      <c r="F5" s="125"/>
      <c r="G5" s="125"/>
      <c r="H5" s="123"/>
      <c r="I5" s="123"/>
      <c r="J5" s="123"/>
      <c r="K5" s="123"/>
    </row>
    <row r="6" spans="1:11" ht="43.95" customHeight="1" thickBot="1">
      <c r="A6" s="126"/>
      <c r="B6" s="127"/>
      <c r="C6" s="745" t="s">
        <v>217</v>
      </c>
      <c r="D6" s="746"/>
      <c r="E6" s="747"/>
      <c r="F6" s="127"/>
      <c r="G6" s="127"/>
      <c r="H6" s="123"/>
      <c r="I6" s="123"/>
      <c r="J6" s="123"/>
      <c r="K6" s="123"/>
    </row>
    <row r="7" spans="1:11" ht="31.8" thickBot="1">
      <c r="A7" s="128" t="s">
        <v>218</v>
      </c>
      <c r="B7" s="129" t="s">
        <v>219</v>
      </c>
      <c r="C7" s="128" t="s">
        <v>220</v>
      </c>
      <c r="D7" s="128" t="s">
        <v>221</v>
      </c>
      <c r="E7" s="128" t="s">
        <v>222</v>
      </c>
      <c r="F7" s="127"/>
      <c r="G7" s="127"/>
      <c r="H7" s="123"/>
      <c r="I7" s="123"/>
      <c r="J7" s="123"/>
      <c r="K7" s="123"/>
    </row>
    <row r="8" spans="1:11" ht="16.2" thickBot="1">
      <c r="A8" s="130" t="s">
        <v>223</v>
      </c>
      <c r="B8" s="131">
        <v>50000</v>
      </c>
      <c r="C8" s="131">
        <v>25000</v>
      </c>
      <c r="D8" s="132">
        <v>-4000</v>
      </c>
      <c r="E8" s="131">
        <v>8000</v>
      </c>
      <c r="F8" s="127"/>
      <c r="G8" s="127"/>
      <c r="H8" s="123"/>
      <c r="I8" s="123"/>
      <c r="J8" s="123"/>
      <c r="K8" s="123"/>
    </row>
    <row r="9" spans="1:11" ht="16.2" thickBot="1">
      <c r="A9" s="133" t="s">
        <v>224</v>
      </c>
      <c r="B9" s="134">
        <v>10000</v>
      </c>
      <c r="C9" s="134">
        <v>15000</v>
      </c>
      <c r="D9" s="135">
        <v>-2000</v>
      </c>
      <c r="E9" s="134">
        <v>6000</v>
      </c>
      <c r="F9" s="127"/>
      <c r="G9" s="127"/>
      <c r="H9" s="123"/>
      <c r="I9" s="123"/>
      <c r="J9" s="123"/>
      <c r="K9" s="123"/>
    </row>
    <row r="10" spans="1:11" ht="16.2" thickBot="1">
      <c r="A10" s="126"/>
      <c r="B10" s="127"/>
      <c r="C10" s="127"/>
      <c r="D10" s="127"/>
      <c r="E10" s="127"/>
      <c r="F10" s="127"/>
      <c r="G10" s="127"/>
      <c r="H10" s="123"/>
      <c r="I10" s="123"/>
      <c r="J10" s="123"/>
      <c r="K10" s="123"/>
    </row>
    <row r="11" spans="1:11" ht="16.2" thickBot="1">
      <c r="A11" s="126"/>
      <c r="B11" s="748" t="s">
        <v>225</v>
      </c>
      <c r="C11" s="749"/>
      <c r="D11" s="750"/>
      <c r="E11" s="748" t="s">
        <v>226</v>
      </c>
      <c r="F11" s="750"/>
      <c r="G11" s="127"/>
      <c r="H11" s="123"/>
      <c r="I11" s="123"/>
      <c r="J11" s="123"/>
      <c r="K11" s="123"/>
    </row>
    <row r="12" spans="1:11" ht="31.8" thickBot="1">
      <c r="A12" s="115" t="s">
        <v>218</v>
      </c>
      <c r="B12" s="116" t="s">
        <v>227</v>
      </c>
      <c r="C12" s="116" t="s">
        <v>228</v>
      </c>
      <c r="D12" s="116" t="s">
        <v>229</v>
      </c>
      <c r="E12" s="116" t="s">
        <v>230</v>
      </c>
      <c r="F12" s="116" t="s">
        <v>231</v>
      </c>
      <c r="G12" s="127"/>
      <c r="H12" s="123"/>
      <c r="I12" s="123"/>
      <c r="J12" s="123"/>
      <c r="K12" s="123"/>
    </row>
    <row r="13" spans="1:11" ht="16.2" thickBot="1">
      <c r="A13" s="130" t="s">
        <v>223</v>
      </c>
      <c r="B13" s="136">
        <v>4.2000000000000003E-2</v>
      </c>
      <c r="C13" s="136">
        <v>0.04</v>
      </c>
      <c r="D13" s="136">
        <v>0.05</v>
      </c>
      <c r="E13" s="131">
        <v>5000000</v>
      </c>
      <c r="F13" s="131">
        <v>60000000</v>
      </c>
      <c r="G13" s="127"/>
      <c r="H13" s="123"/>
      <c r="I13" s="123"/>
      <c r="J13" s="123"/>
      <c r="K13" s="123"/>
    </row>
    <row r="14" spans="1:11" ht="16.2" thickBot="1">
      <c r="A14" s="133" t="s">
        <v>224</v>
      </c>
      <c r="B14" s="137">
        <v>4.2000000000000003E-2</v>
      </c>
      <c r="C14" s="137">
        <v>0.04</v>
      </c>
      <c r="D14" s="137">
        <v>4.4999999999999998E-2</v>
      </c>
      <c r="E14" s="134">
        <v>3000000</v>
      </c>
      <c r="F14" s="134">
        <v>50000000</v>
      </c>
      <c r="G14" s="127"/>
      <c r="H14" s="123"/>
      <c r="I14" s="123"/>
      <c r="J14" s="123"/>
      <c r="K14" s="123"/>
    </row>
    <row r="15" spans="1:11" ht="15.6">
      <c r="A15" s="138"/>
      <c r="B15" s="139"/>
      <c r="C15" s="139"/>
      <c r="D15" s="139"/>
      <c r="E15" s="140"/>
      <c r="F15" s="140"/>
      <c r="G15" s="125"/>
      <c r="H15" s="123"/>
      <c r="I15" s="123"/>
      <c r="J15" s="123"/>
      <c r="K15" s="123"/>
    </row>
    <row r="16" spans="1:11" ht="15.6">
      <c r="A16" s="138"/>
      <c r="B16" s="139"/>
      <c r="C16" s="139"/>
      <c r="D16" s="139"/>
      <c r="E16" s="140"/>
      <c r="F16" s="140"/>
      <c r="G16" s="125"/>
      <c r="H16" s="123"/>
      <c r="I16" s="123"/>
      <c r="J16" s="123"/>
      <c r="K16" s="123"/>
    </row>
    <row r="17" spans="1:12" ht="15.6">
      <c r="A17" s="99" t="s">
        <v>232</v>
      </c>
      <c r="B17" s="123"/>
      <c r="C17" s="125"/>
      <c r="D17" s="125"/>
      <c r="E17" s="125"/>
      <c r="F17" s="125"/>
      <c r="G17" s="125"/>
      <c r="H17" s="123"/>
      <c r="I17" s="123"/>
      <c r="J17" s="123"/>
      <c r="K17" s="123"/>
    </row>
    <row r="18" spans="1:12" ht="15.6">
      <c r="A18" s="141"/>
      <c r="B18" s="125"/>
      <c r="C18" s="125"/>
      <c r="D18" s="125"/>
      <c r="E18" s="125"/>
      <c r="F18" s="125"/>
      <c r="G18" s="125"/>
      <c r="H18" s="123"/>
      <c r="I18" s="123"/>
      <c r="J18" s="123"/>
      <c r="K18" s="123"/>
    </row>
    <row r="19" spans="1:12" ht="15.6">
      <c r="A19" s="99" t="s">
        <v>233</v>
      </c>
      <c r="B19" s="125"/>
      <c r="C19" s="125"/>
      <c r="D19" s="125"/>
      <c r="E19" s="125"/>
      <c r="F19" s="125"/>
      <c r="G19" s="125"/>
      <c r="H19" s="123"/>
      <c r="I19" s="123"/>
      <c r="J19" s="123"/>
      <c r="K19" s="123"/>
    </row>
    <row r="20" spans="1:12" s="40" customFormat="1" ht="15.6">
      <c r="A20" s="99" t="s">
        <v>34</v>
      </c>
      <c r="B20" s="100"/>
      <c r="C20" s="89"/>
      <c r="D20" s="89"/>
      <c r="E20" s="89"/>
      <c r="F20" s="89"/>
      <c r="G20" s="89"/>
      <c r="H20" s="89"/>
      <c r="I20" s="123"/>
      <c r="J20" s="123"/>
      <c r="K20" s="103"/>
      <c r="L20" s="58"/>
    </row>
    <row r="21" spans="1:12" ht="15.6">
      <c r="A21" s="109" t="s">
        <v>22</v>
      </c>
    </row>
    <row r="28" spans="1:12" s="143" customFormat="1" ht="15.6">
      <c r="A28" s="124" t="s">
        <v>234</v>
      </c>
      <c r="B28" s="142"/>
      <c r="C28" s="127"/>
      <c r="D28" s="127"/>
      <c r="E28" s="127"/>
      <c r="F28" s="127"/>
      <c r="G28" s="127"/>
      <c r="H28" s="127"/>
      <c r="I28" s="127"/>
      <c r="J28" s="127"/>
      <c r="K28" s="127"/>
    </row>
    <row r="29" spans="1:12" s="143" customFormat="1" ht="14.4" thickBot="1">
      <c r="A29" s="127"/>
      <c r="B29" s="127"/>
      <c r="C29" s="127"/>
      <c r="D29" s="127"/>
      <c r="E29" s="127"/>
      <c r="F29" s="127"/>
      <c r="G29" s="127"/>
      <c r="H29" s="127"/>
      <c r="I29" s="127"/>
      <c r="J29" s="127"/>
      <c r="K29" s="127"/>
    </row>
    <row r="30" spans="1:12" s="143" customFormat="1" ht="14.4" thickBot="1">
      <c r="A30" s="127"/>
      <c r="B30" s="144" t="s">
        <v>235</v>
      </c>
      <c r="C30" s="145"/>
      <c r="D30" s="146"/>
      <c r="E30" s="147">
        <v>100000</v>
      </c>
      <c r="F30" s="127"/>
      <c r="G30" s="127"/>
      <c r="H30" s="127"/>
      <c r="I30" s="127"/>
      <c r="J30" s="127"/>
      <c r="K30" s="127"/>
    </row>
    <row r="31" spans="1:12" s="143" customFormat="1" ht="14.4" thickBot="1">
      <c r="A31" s="127"/>
      <c r="B31" s="144" t="s">
        <v>236</v>
      </c>
      <c r="C31" s="145"/>
      <c r="D31" s="146"/>
      <c r="E31" s="147">
        <v>1000</v>
      </c>
      <c r="F31" s="127"/>
      <c r="G31" s="127"/>
      <c r="H31" s="127"/>
      <c r="I31" s="127"/>
      <c r="J31" s="127"/>
      <c r="K31" s="127"/>
    </row>
    <row r="32" spans="1:12" s="143" customFormat="1" ht="14.4" thickBot="1">
      <c r="A32" s="127"/>
      <c r="B32" s="148"/>
      <c r="C32" s="148"/>
      <c r="D32" s="148"/>
      <c r="E32" s="127"/>
      <c r="F32" s="127"/>
      <c r="G32" s="127"/>
      <c r="H32" s="127"/>
      <c r="I32" s="127"/>
      <c r="J32" s="127"/>
      <c r="K32" s="127"/>
    </row>
    <row r="33" spans="1:11" s="143" customFormat="1" ht="14.4" thickBot="1">
      <c r="A33" s="127"/>
      <c r="B33" s="144" t="s">
        <v>237</v>
      </c>
      <c r="C33" s="145"/>
      <c r="D33" s="146"/>
      <c r="E33" s="149">
        <v>1E-3</v>
      </c>
      <c r="F33" s="127"/>
      <c r="G33" s="127"/>
      <c r="H33" s="127"/>
      <c r="I33" s="127"/>
      <c r="J33" s="127"/>
      <c r="K33" s="127"/>
    </row>
    <row r="34" spans="1:11" s="143" customFormat="1" ht="14.4" thickBot="1">
      <c r="A34" s="127"/>
      <c r="B34" s="144" t="s">
        <v>238</v>
      </c>
      <c r="C34" s="145"/>
      <c r="D34" s="146"/>
      <c r="E34" s="149">
        <v>0.05</v>
      </c>
      <c r="F34" s="127"/>
      <c r="G34" s="127"/>
      <c r="H34" s="127"/>
      <c r="I34" s="127"/>
      <c r="J34" s="127"/>
      <c r="K34" s="127"/>
    </row>
    <row r="35" spans="1:11" s="143" customFormat="1" ht="14.4" thickBot="1">
      <c r="A35" s="127"/>
      <c r="B35" s="144" t="s">
        <v>239</v>
      </c>
      <c r="C35" s="145"/>
      <c r="D35" s="146"/>
      <c r="E35" s="149">
        <v>4.0000000000000001E-3</v>
      </c>
      <c r="F35" s="127"/>
      <c r="G35" s="127"/>
      <c r="H35" s="127"/>
      <c r="I35" s="127"/>
      <c r="J35" s="127"/>
      <c r="K35" s="127"/>
    </row>
    <row r="36" spans="1:11" s="143" customFormat="1" ht="14.4" thickBot="1">
      <c r="A36" s="127"/>
      <c r="B36" s="144" t="s">
        <v>240</v>
      </c>
      <c r="C36" s="145"/>
      <c r="D36" s="146"/>
      <c r="E36" s="149">
        <v>1E-3</v>
      </c>
      <c r="F36" s="127"/>
      <c r="G36" s="127"/>
      <c r="H36" s="127"/>
      <c r="I36" s="127"/>
      <c r="J36" s="127"/>
      <c r="K36" s="127"/>
    </row>
    <row r="37" spans="1:11" s="143" customFormat="1" ht="14.4" thickBot="1">
      <c r="A37" s="127"/>
      <c r="B37" s="144" t="s">
        <v>241</v>
      </c>
      <c r="C37" s="145"/>
      <c r="D37" s="146"/>
      <c r="E37" s="149">
        <v>1.4999999999999999E-2</v>
      </c>
      <c r="F37" s="127"/>
      <c r="G37" s="127"/>
      <c r="H37" s="127"/>
      <c r="I37" s="127"/>
      <c r="J37" s="127"/>
      <c r="K37" s="127"/>
    </row>
    <row r="38" spans="1:11" s="143" customFormat="1" ht="14.4" thickBot="1">
      <c r="A38" s="127"/>
      <c r="B38" s="144" t="s">
        <v>242</v>
      </c>
      <c r="C38" s="145"/>
      <c r="D38" s="146"/>
      <c r="E38" s="149">
        <v>0.2</v>
      </c>
      <c r="F38" s="127"/>
      <c r="G38" s="127"/>
      <c r="H38" s="127"/>
      <c r="I38" s="127"/>
      <c r="J38" s="127"/>
      <c r="K38" s="127"/>
    </row>
    <row r="39" spans="1:11" s="143" customFormat="1" ht="14.4" thickBot="1">
      <c r="A39" s="127"/>
      <c r="B39" s="144" t="s">
        <v>243</v>
      </c>
      <c r="C39" s="145"/>
      <c r="D39" s="146"/>
      <c r="E39" s="150">
        <v>75</v>
      </c>
      <c r="F39" s="127"/>
      <c r="G39" s="127"/>
      <c r="H39" s="127"/>
      <c r="I39" s="127"/>
      <c r="J39" s="127"/>
      <c r="K39" s="127"/>
    </row>
    <row r="40" spans="1:11" s="143" customFormat="1" ht="14.4" thickBot="1">
      <c r="A40" s="127"/>
      <c r="B40" s="144" t="s">
        <v>244</v>
      </c>
      <c r="C40" s="145"/>
      <c r="D40" s="146"/>
      <c r="E40" s="150">
        <v>200</v>
      </c>
      <c r="F40" s="127"/>
      <c r="G40" s="127"/>
      <c r="H40" s="127"/>
      <c r="I40" s="127"/>
      <c r="J40" s="127"/>
      <c r="K40" s="127"/>
    </row>
    <row r="41" spans="1:11" s="143" customFormat="1">
      <c r="A41" s="127"/>
      <c r="B41" s="127"/>
      <c r="C41" s="127"/>
      <c r="D41" s="127"/>
      <c r="E41" s="127"/>
      <c r="F41" s="127"/>
      <c r="G41" s="127"/>
      <c r="H41" s="127"/>
      <c r="I41" s="127"/>
      <c r="J41" s="127"/>
      <c r="K41" s="127"/>
    </row>
    <row r="42" spans="1:11" s="143" customFormat="1">
      <c r="A42" s="127"/>
      <c r="B42" s="127"/>
      <c r="C42" s="127"/>
      <c r="D42" s="127"/>
      <c r="E42" s="127"/>
      <c r="F42" s="127"/>
      <c r="G42" s="127"/>
      <c r="H42" s="127"/>
      <c r="I42" s="127"/>
      <c r="J42" s="127"/>
      <c r="K42" s="127"/>
    </row>
    <row r="43" spans="1:11" s="151" customFormat="1" ht="15.6">
      <c r="A43" s="117"/>
      <c r="B43" s="117" t="s">
        <v>245</v>
      </c>
      <c r="C43" s="117"/>
      <c r="D43" s="117"/>
      <c r="E43" s="117"/>
      <c r="F43" s="117"/>
      <c r="G43" s="117"/>
      <c r="H43" s="117"/>
      <c r="I43" s="117"/>
      <c r="J43" s="117"/>
      <c r="K43" s="117"/>
    </row>
    <row r="44" spans="1:11" s="151" customFormat="1" ht="15.6">
      <c r="A44" s="117"/>
      <c r="B44" s="117" t="s">
        <v>246</v>
      </c>
      <c r="C44" s="117"/>
      <c r="D44" s="117"/>
      <c r="E44" s="117"/>
      <c r="F44" s="117"/>
      <c r="G44" s="117"/>
      <c r="H44" s="117"/>
      <c r="I44" s="117"/>
      <c r="J44" s="117"/>
      <c r="K44" s="117"/>
    </row>
    <row r="45" spans="1:11" s="151" customFormat="1" ht="15.6">
      <c r="A45" s="117"/>
      <c r="B45" s="117" t="s">
        <v>247</v>
      </c>
      <c r="C45" s="117"/>
      <c r="D45" s="117"/>
      <c r="E45" s="117"/>
      <c r="F45" s="117"/>
      <c r="G45" s="117"/>
      <c r="H45" s="117"/>
      <c r="I45" s="117"/>
      <c r="J45" s="117"/>
      <c r="K45" s="117"/>
    </row>
    <row r="46" spans="1:11" s="151" customFormat="1" ht="15.6">
      <c r="A46" s="117"/>
      <c r="B46" s="117" t="s">
        <v>248</v>
      </c>
      <c r="C46" s="117"/>
      <c r="D46" s="117"/>
      <c r="E46" s="117"/>
      <c r="F46" s="117"/>
      <c r="G46" s="117"/>
      <c r="H46" s="117"/>
      <c r="I46" s="117"/>
      <c r="J46" s="117"/>
      <c r="K46" s="117"/>
    </row>
    <row r="47" spans="1:11" s="151" customFormat="1" ht="15.6">
      <c r="A47" s="117"/>
      <c r="B47" s="117"/>
      <c r="C47" s="117"/>
      <c r="D47" s="117"/>
      <c r="E47" s="117"/>
      <c r="F47" s="117"/>
      <c r="G47" s="117"/>
      <c r="H47" s="117"/>
      <c r="I47" s="117"/>
      <c r="J47" s="117"/>
      <c r="K47" s="117"/>
    </row>
    <row r="48" spans="1:11" s="151" customFormat="1" ht="15.6">
      <c r="A48" s="117" t="s">
        <v>249</v>
      </c>
      <c r="B48" s="117"/>
      <c r="C48" s="117"/>
      <c r="D48" s="117"/>
      <c r="E48" s="117"/>
      <c r="F48" s="117"/>
      <c r="G48" s="117"/>
      <c r="H48" s="117"/>
      <c r="I48" s="117"/>
      <c r="J48" s="117"/>
      <c r="K48" s="117"/>
    </row>
    <row r="49" spans="1:12" s="40" customFormat="1" ht="15.6">
      <c r="A49" s="99" t="s">
        <v>34</v>
      </c>
      <c r="B49" s="100"/>
      <c r="C49" s="89"/>
      <c r="D49" s="89"/>
      <c r="E49" s="89"/>
      <c r="F49" s="89"/>
      <c r="G49" s="89"/>
      <c r="H49" s="89"/>
      <c r="I49" s="123"/>
      <c r="J49" s="123"/>
      <c r="K49" s="103"/>
      <c r="L49" s="58"/>
    </row>
    <row r="50" spans="1:12" s="143" customFormat="1" ht="15.6">
      <c r="A50" s="109" t="s">
        <v>22</v>
      </c>
    </row>
  </sheetData>
  <mergeCells count="3">
    <mergeCell ref="C6:E6"/>
    <mergeCell ref="B11:D11"/>
    <mergeCell ref="E11:F11"/>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A881-460E-4B7A-84C1-010BE3B1E1AA}">
  <sheetPr>
    <tabColor rgb="FFD9E2F5"/>
  </sheetPr>
  <dimension ref="A1:F38"/>
  <sheetViews>
    <sheetView workbookViewId="0">
      <selection activeCell="I14" sqref="I14"/>
    </sheetView>
  </sheetViews>
  <sheetFormatPr defaultColWidth="8.77734375" defaultRowHeight="15.6"/>
  <cols>
    <col min="1" max="1" width="12.21875" style="347" customWidth="1"/>
    <col min="2" max="3" width="8.77734375" style="347"/>
    <col min="4" max="4" width="34.21875" style="347" customWidth="1"/>
    <col min="5" max="6" width="10.5546875" style="347" bestFit="1" customWidth="1"/>
    <col min="7" max="16384" width="8.77734375" style="347"/>
  </cols>
  <sheetData>
    <row r="1" spans="1:6">
      <c r="A1" s="601" t="s">
        <v>1071</v>
      </c>
    </row>
    <row r="2" spans="1:6">
      <c r="A2" s="601" t="s">
        <v>1072</v>
      </c>
    </row>
    <row r="3" spans="1:6">
      <c r="A3" s="601" t="s">
        <v>50</v>
      </c>
    </row>
    <row r="5" spans="1:6">
      <c r="A5" s="601" t="s">
        <v>1073</v>
      </c>
    </row>
    <row r="7" spans="1:6">
      <c r="A7" s="601" t="s">
        <v>1074</v>
      </c>
    </row>
    <row r="8" spans="1:6">
      <c r="A8" s="645"/>
      <c r="B8" s="646"/>
      <c r="C8" s="646"/>
      <c r="D8" s="647"/>
      <c r="E8" s="648" t="s">
        <v>1075</v>
      </c>
      <c r="F8" s="648" t="s">
        <v>1076</v>
      </c>
    </row>
    <row r="9" spans="1:6">
      <c r="A9" s="649" t="s">
        <v>1077</v>
      </c>
      <c r="B9" s="636"/>
      <c r="C9" s="636"/>
      <c r="D9" s="650"/>
      <c r="E9" s="651"/>
      <c r="F9" s="651"/>
    </row>
    <row r="10" spans="1:6">
      <c r="A10" s="652"/>
      <c r="B10" s="636" t="s">
        <v>1078</v>
      </c>
      <c r="C10" s="636"/>
      <c r="D10" s="650"/>
      <c r="E10" s="651"/>
      <c r="F10" s="651"/>
    </row>
    <row r="11" spans="1:6">
      <c r="A11" s="652"/>
      <c r="B11" s="636"/>
      <c r="C11" s="653" t="s">
        <v>1079</v>
      </c>
      <c r="D11" s="650"/>
      <c r="E11" s="651">
        <v>500</v>
      </c>
      <c r="F11" s="651"/>
    </row>
    <row r="12" spans="1:6">
      <c r="A12" s="652"/>
      <c r="B12" s="636"/>
      <c r="C12" s="653" t="s">
        <v>1080</v>
      </c>
      <c r="D12" s="650"/>
      <c r="E12" s="651">
        <v>200</v>
      </c>
      <c r="F12" s="651"/>
    </row>
    <row r="13" spans="1:6">
      <c r="A13" s="652"/>
      <c r="B13" s="636"/>
      <c r="C13" s="653" t="s">
        <v>815</v>
      </c>
      <c r="D13" s="650"/>
      <c r="E13" s="651"/>
      <c r="F13" s="651">
        <v>250</v>
      </c>
    </row>
    <row r="14" spans="1:6">
      <c r="A14" s="652"/>
      <c r="B14" s="636" t="s">
        <v>1081</v>
      </c>
      <c r="C14" s="636"/>
      <c r="D14" s="650"/>
      <c r="E14" s="651"/>
      <c r="F14" s="651"/>
    </row>
    <row r="15" spans="1:6">
      <c r="A15" s="652"/>
      <c r="B15" s="636"/>
      <c r="C15" s="653" t="s">
        <v>1082</v>
      </c>
      <c r="D15" s="650"/>
      <c r="E15" s="651">
        <v>100</v>
      </c>
      <c r="F15" s="651"/>
    </row>
    <row r="16" spans="1:6">
      <c r="A16" s="652"/>
      <c r="B16" s="636"/>
      <c r="C16" s="653" t="s">
        <v>1083</v>
      </c>
      <c r="D16" s="650"/>
      <c r="E16" s="651">
        <v>300</v>
      </c>
      <c r="F16" s="651"/>
    </row>
    <row r="17" spans="1:6">
      <c r="A17" s="652"/>
      <c r="B17" s="636"/>
      <c r="C17" s="653" t="s">
        <v>1084</v>
      </c>
      <c r="D17" s="650"/>
      <c r="E17" s="651">
        <v>40</v>
      </c>
      <c r="F17" s="651"/>
    </row>
    <row r="18" spans="1:6">
      <c r="A18" s="652"/>
      <c r="B18" s="636"/>
      <c r="C18" s="653" t="s">
        <v>1085</v>
      </c>
      <c r="D18" s="650"/>
      <c r="E18" s="651">
        <v>10</v>
      </c>
      <c r="F18" s="651"/>
    </row>
    <row r="19" spans="1:6">
      <c r="A19" s="652"/>
      <c r="B19" s="636"/>
      <c r="C19" s="636"/>
      <c r="D19" s="650"/>
      <c r="E19" s="651"/>
      <c r="F19" s="651"/>
    </row>
    <row r="20" spans="1:6">
      <c r="A20" s="649" t="s">
        <v>1086</v>
      </c>
      <c r="B20" s="636"/>
      <c r="C20" s="636"/>
      <c r="D20" s="650"/>
      <c r="E20" s="651"/>
      <c r="F20" s="651"/>
    </row>
    <row r="21" spans="1:6">
      <c r="A21" s="652"/>
      <c r="B21" s="636" t="s">
        <v>1078</v>
      </c>
      <c r="C21" s="636"/>
      <c r="D21" s="650"/>
      <c r="E21" s="651"/>
      <c r="F21" s="651"/>
    </row>
    <row r="22" spans="1:6">
      <c r="A22" s="652"/>
      <c r="B22" s="636"/>
      <c r="C22" s="653" t="s">
        <v>1079</v>
      </c>
      <c r="D22" s="650"/>
      <c r="E22" s="651">
        <v>400</v>
      </c>
      <c r="F22" s="651"/>
    </row>
    <row r="23" spans="1:6">
      <c r="A23" s="652"/>
      <c r="B23" s="636"/>
      <c r="C23" s="653" t="s">
        <v>1080</v>
      </c>
      <c r="D23" s="650"/>
      <c r="E23" s="651">
        <v>250</v>
      </c>
      <c r="F23" s="651"/>
    </row>
    <row r="24" spans="1:6">
      <c r="A24" s="652"/>
      <c r="B24" s="636"/>
      <c r="C24" s="653" t="s">
        <v>1087</v>
      </c>
      <c r="D24" s="650"/>
      <c r="E24" s="651">
        <v>250</v>
      </c>
      <c r="F24" s="651"/>
    </row>
    <row r="25" spans="1:6">
      <c r="A25" s="652"/>
      <c r="B25" s="636" t="s">
        <v>1081</v>
      </c>
      <c r="C25" s="636"/>
      <c r="D25" s="650"/>
      <c r="E25" s="651"/>
      <c r="F25" s="651"/>
    </row>
    <row r="26" spans="1:6">
      <c r="A26" s="652"/>
      <c r="B26" s="636"/>
      <c r="C26" s="653" t="s">
        <v>1082</v>
      </c>
      <c r="D26" s="650"/>
      <c r="E26" s="651">
        <v>100</v>
      </c>
      <c r="F26" s="651"/>
    </row>
    <row r="27" spans="1:6">
      <c r="A27" s="652"/>
      <c r="B27" s="636"/>
      <c r="C27" s="653" t="s">
        <v>1083</v>
      </c>
      <c r="D27" s="650"/>
      <c r="E27" s="651">
        <v>320</v>
      </c>
      <c r="F27" s="651"/>
    </row>
    <row r="28" spans="1:6">
      <c r="A28" s="652"/>
      <c r="B28" s="636"/>
      <c r="C28" s="653" t="s">
        <v>1084</v>
      </c>
      <c r="D28" s="650"/>
      <c r="E28" s="651">
        <v>130</v>
      </c>
      <c r="F28" s="651"/>
    </row>
    <row r="29" spans="1:6">
      <c r="A29" s="654"/>
      <c r="B29" s="655"/>
      <c r="C29" s="656" t="s">
        <v>1085</v>
      </c>
      <c r="D29" s="657"/>
      <c r="E29" s="658">
        <v>20</v>
      </c>
      <c r="F29" s="658"/>
    </row>
    <row r="32" spans="1:6">
      <c r="A32" s="602"/>
      <c r="B32" s="602"/>
      <c r="C32" s="602"/>
      <c r="D32" s="616"/>
      <c r="E32" s="617" t="s">
        <v>1088</v>
      </c>
    </row>
    <row r="33" spans="1:5">
      <c r="A33" s="602"/>
      <c r="B33" s="602"/>
      <c r="C33" s="602"/>
      <c r="D33" s="659" t="s">
        <v>1089</v>
      </c>
      <c r="E33" s="660">
        <v>2.5000000000000001E-2</v>
      </c>
    </row>
    <row r="34" spans="1:5">
      <c r="A34" s="602"/>
      <c r="B34" s="602"/>
      <c r="C34" s="602"/>
      <c r="D34" s="659" t="s">
        <v>1090</v>
      </c>
      <c r="E34" s="660">
        <v>5.7500000000000002E-2</v>
      </c>
    </row>
    <row r="35" spans="1:5">
      <c r="A35" s="602"/>
      <c r="B35" s="602"/>
      <c r="C35" s="602"/>
      <c r="D35" s="659"/>
      <c r="E35" s="660"/>
    </row>
    <row r="37" spans="1:5">
      <c r="A37" s="601" t="s">
        <v>1091</v>
      </c>
    </row>
    <row r="38" spans="1:5">
      <c r="A38" s="347" t="s">
        <v>22</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87D6-873A-4CBE-8633-3D732B49277B}">
  <sheetPr>
    <tabColor rgb="FFFF0000"/>
  </sheetPr>
  <dimension ref="B1:G43"/>
  <sheetViews>
    <sheetView topLeftCell="A23" workbookViewId="0">
      <selection activeCell="I43" sqref="I43"/>
    </sheetView>
  </sheetViews>
  <sheetFormatPr defaultColWidth="8.77734375" defaultRowHeight="14.4"/>
  <cols>
    <col min="1" max="1" width="8.77734375" style="328"/>
    <col min="2" max="2" width="28.44140625" style="328" customWidth="1"/>
    <col min="3" max="16384" width="8.77734375" style="328"/>
  </cols>
  <sheetData>
    <row r="1" spans="2:7" s="677" customFormat="1"/>
    <row r="2" spans="2:7" s="677" customFormat="1" ht="15.6">
      <c r="B2" s="678" t="s">
        <v>1117</v>
      </c>
    </row>
    <row r="3" spans="2:7" s="677" customFormat="1"/>
    <row r="4" spans="2:7" s="677" customFormat="1"/>
    <row r="5" spans="2:7" s="677" customFormat="1" ht="15.6">
      <c r="B5" s="678" t="s">
        <v>1118</v>
      </c>
    </row>
    <row r="6" spans="2:7" s="677" customFormat="1" ht="15.6">
      <c r="B6" s="678"/>
    </row>
    <row r="7" spans="2:7" s="677" customFormat="1" ht="15.6">
      <c r="B7" s="679" t="s">
        <v>1119</v>
      </c>
    </row>
    <row r="8" spans="2:7" s="677" customFormat="1" ht="15.6">
      <c r="B8" s="679" t="s">
        <v>1120</v>
      </c>
    </row>
    <row r="9" spans="2:7" s="677" customFormat="1" ht="15.6">
      <c r="B9" s="679" t="s">
        <v>1121</v>
      </c>
    </row>
    <row r="10" spans="2:7" s="677" customFormat="1"/>
    <row r="11" spans="2:7" s="677" customFormat="1" ht="15.6">
      <c r="B11" s="680" t="s">
        <v>1122</v>
      </c>
    </row>
    <row r="12" spans="2:7" s="677" customFormat="1"/>
    <row r="13" spans="2:7" s="681" customFormat="1" ht="13.2"/>
    <row r="14" spans="2:7" s="682" customFormat="1" ht="13.2"/>
    <row r="15" spans="2:7" s="686" customFormat="1">
      <c r="B15" s="683" t="s">
        <v>1123</v>
      </c>
      <c r="C15" s="684" t="s">
        <v>384</v>
      </c>
      <c r="D15" s="685">
        <v>0</v>
      </c>
      <c r="E15" s="685">
        <v>1</v>
      </c>
      <c r="F15" s="685">
        <v>2</v>
      </c>
      <c r="G15" s="685">
        <v>3</v>
      </c>
    </row>
    <row r="16" spans="2:7" s="682" customFormat="1">
      <c r="B16" s="687" t="s">
        <v>1124</v>
      </c>
      <c r="C16" s="688"/>
      <c r="D16" s="688"/>
      <c r="E16" s="688">
        <v>1000</v>
      </c>
      <c r="F16" s="688">
        <v>0</v>
      </c>
      <c r="G16" s="688">
        <v>0</v>
      </c>
    </row>
    <row r="17" spans="2:7" s="682" customFormat="1">
      <c r="B17" s="687" t="s">
        <v>1125</v>
      </c>
      <c r="C17" s="688"/>
      <c r="D17" s="688"/>
      <c r="E17" s="688">
        <v>48.9</v>
      </c>
      <c r="F17" s="688">
        <v>49.1</v>
      </c>
      <c r="G17" s="688">
        <v>49.3</v>
      </c>
    </row>
    <row r="18" spans="2:7" s="682" customFormat="1">
      <c r="B18" s="687" t="s">
        <v>1126</v>
      </c>
      <c r="C18" s="688"/>
      <c r="D18" s="688"/>
      <c r="E18" s="688">
        <v>0</v>
      </c>
      <c r="F18" s="688">
        <v>0</v>
      </c>
      <c r="G18" s="688">
        <v>0</v>
      </c>
    </row>
    <row r="19" spans="2:7" s="682" customFormat="1">
      <c r="B19" s="687" t="s">
        <v>1127</v>
      </c>
      <c r="C19" s="688"/>
      <c r="D19" s="688"/>
      <c r="E19" s="688">
        <v>-45</v>
      </c>
      <c r="F19" s="688">
        <v>-45</v>
      </c>
      <c r="G19" s="688">
        <v>-45</v>
      </c>
    </row>
    <row r="20" spans="2:7" s="682" customFormat="1">
      <c r="B20" s="689" t="s">
        <v>1128</v>
      </c>
      <c r="C20" s="690"/>
      <c r="D20" s="690">
        <v>-21.6</v>
      </c>
      <c r="E20" s="690">
        <v>982.30000000000007</v>
      </c>
      <c r="F20" s="690">
        <v>986.40000000000009</v>
      </c>
      <c r="G20" s="690">
        <v>990.7</v>
      </c>
    </row>
    <row r="21" spans="2:7" s="682" customFormat="1">
      <c r="B21" s="691"/>
      <c r="C21" s="692"/>
      <c r="D21" s="692"/>
      <c r="E21" s="692"/>
      <c r="F21" s="692"/>
      <c r="G21" s="692"/>
    </row>
    <row r="22" spans="2:7" s="686" customFormat="1">
      <c r="B22" s="683" t="s">
        <v>1129</v>
      </c>
      <c r="C22" s="684" t="s">
        <v>384</v>
      </c>
      <c r="D22" s="685">
        <v>0</v>
      </c>
      <c r="E22" s="685">
        <v>1</v>
      </c>
      <c r="F22" s="685">
        <v>2</v>
      </c>
      <c r="G22" s="685">
        <v>3</v>
      </c>
    </row>
    <row r="23" spans="2:7" s="682" customFormat="1">
      <c r="B23" s="687" t="s">
        <v>1125</v>
      </c>
      <c r="C23" s="688"/>
      <c r="D23" s="688"/>
      <c r="E23" s="688">
        <v>-1.1000000000000001</v>
      </c>
      <c r="F23" s="688">
        <v>-0.9</v>
      </c>
      <c r="G23" s="688">
        <v>-0.7</v>
      </c>
    </row>
    <row r="24" spans="2:7" s="682" customFormat="1">
      <c r="B24" s="687" t="s">
        <v>1130</v>
      </c>
      <c r="C24" s="688"/>
      <c r="D24" s="688"/>
      <c r="E24" s="688">
        <v>5</v>
      </c>
      <c r="F24" s="688">
        <v>5</v>
      </c>
      <c r="G24" s="688">
        <v>5</v>
      </c>
    </row>
    <row r="25" spans="2:7" s="682" customFormat="1">
      <c r="B25" s="689" t="s">
        <v>1128</v>
      </c>
      <c r="C25" s="690"/>
      <c r="D25" s="690">
        <v>-21.6</v>
      </c>
      <c r="E25" s="690">
        <v>-17.700000000000003</v>
      </c>
      <c r="F25" s="690">
        <v>-13.600000000000003</v>
      </c>
      <c r="G25" s="690">
        <v>-9.3000000000000043</v>
      </c>
    </row>
    <row r="26" spans="2:7" s="682" customFormat="1" ht="13.2"/>
    <row r="27" spans="2:7" s="686" customFormat="1">
      <c r="B27" s="683" t="s">
        <v>1131</v>
      </c>
      <c r="C27" s="684" t="s">
        <v>384</v>
      </c>
      <c r="D27" s="685">
        <v>0</v>
      </c>
      <c r="E27" s="685">
        <v>1</v>
      </c>
      <c r="F27" s="685">
        <v>2</v>
      </c>
      <c r="G27" s="685">
        <v>3</v>
      </c>
    </row>
    <row r="28" spans="2:7" s="682" customFormat="1">
      <c r="B28" s="687" t="s">
        <v>1125</v>
      </c>
      <c r="C28" s="688"/>
      <c r="D28" s="688"/>
      <c r="E28" s="688">
        <v>0.4</v>
      </c>
      <c r="F28" s="688">
        <v>0.4</v>
      </c>
      <c r="G28" s="688">
        <v>0.3</v>
      </c>
    </row>
    <row r="29" spans="2:7" s="682" customFormat="1">
      <c r="B29" s="687" t="s">
        <v>1130</v>
      </c>
      <c r="C29" s="688"/>
      <c r="D29" s="688"/>
      <c r="E29" s="688">
        <v>-2</v>
      </c>
      <c r="F29" s="688">
        <v>-2</v>
      </c>
      <c r="G29" s="688">
        <v>-2</v>
      </c>
    </row>
    <row r="30" spans="2:7" s="682" customFormat="1">
      <c r="B30" s="689" t="s">
        <v>1128</v>
      </c>
      <c r="C30" s="690"/>
      <c r="D30" s="690">
        <v>8.6999999999999993</v>
      </c>
      <c r="E30" s="690">
        <v>7.1</v>
      </c>
      <c r="F30" s="690">
        <v>5.5</v>
      </c>
      <c r="G30" s="690">
        <v>3.8</v>
      </c>
    </row>
    <row r="31" spans="2:7" s="682" customFormat="1" ht="13.2">
      <c r="E31" s="693"/>
    </row>
    <row r="32" spans="2:7" s="686" customFormat="1">
      <c r="B32" s="683" t="s">
        <v>1132</v>
      </c>
      <c r="C32" s="684" t="s">
        <v>384</v>
      </c>
      <c r="D32" s="685">
        <v>0</v>
      </c>
      <c r="E32" s="685">
        <v>1</v>
      </c>
      <c r="F32" s="685">
        <v>2</v>
      </c>
      <c r="G32" s="685">
        <v>3</v>
      </c>
    </row>
    <row r="33" spans="2:7" s="682" customFormat="1">
      <c r="B33" s="687" t="s">
        <v>1125</v>
      </c>
      <c r="C33" s="688"/>
      <c r="D33" s="688"/>
      <c r="E33" s="688">
        <v>0.2</v>
      </c>
      <c r="F33" s="688">
        <v>0.2</v>
      </c>
      <c r="G33" s="688">
        <v>0.1</v>
      </c>
    </row>
    <row r="34" spans="2:7" s="682" customFormat="1">
      <c r="B34" s="687" t="s">
        <v>1130</v>
      </c>
      <c r="C34" s="688"/>
      <c r="D34" s="688"/>
      <c r="E34" s="688">
        <v>-1</v>
      </c>
      <c r="F34" s="688">
        <v>-1</v>
      </c>
      <c r="G34" s="688">
        <v>-1</v>
      </c>
    </row>
    <row r="35" spans="2:7" s="682" customFormat="1">
      <c r="B35" s="689" t="s">
        <v>1128</v>
      </c>
      <c r="C35" s="690"/>
      <c r="D35" s="690">
        <v>4.3</v>
      </c>
      <c r="E35" s="690">
        <v>3.5</v>
      </c>
      <c r="F35" s="690">
        <v>2.7</v>
      </c>
      <c r="G35" s="690">
        <v>1.8000000000000003</v>
      </c>
    </row>
    <row r="36" spans="2:7" s="682" customFormat="1" ht="13.2"/>
    <row r="37" spans="2:7" s="682" customFormat="1">
      <c r="B37" s="689" t="s">
        <v>648</v>
      </c>
      <c r="C37" s="689"/>
      <c r="D37" s="689">
        <v>8.6999999999999993</v>
      </c>
    </row>
    <row r="38" spans="2:7" s="682" customFormat="1" ht="13.2"/>
    <row r="39" spans="2:7" s="682" customFormat="1">
      <c r="B39" s="689" t="s">
        <v>1133</v>
      </c>
      <c r="C39" s="694"/>
      <c r="D39" s="694"/>
      <c r="E39" s="695">
        <v>0.2</v>
      </c>
      <c r="F39" s="695">
        <v>0.2</v>
      </c>
      <c r="G39" s="695">
        <v>0.2</v>
      </c>
    </row>
    <row r="40" spans="2:7" s="682" customFormat="1" ht="13.2"/>
    <row r="41" spans="2:7" s="682" customFormat="1" ht="13.2"/>
    <row r="43" spans="2:7">
      <c r="B43" s="328" t="s">
        <v>1134</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71D-B1C3-48D5-803C-5B3E3636D17F}">
  <sheetPr>
    <tabColor rgb="FFF1DBF1"/>
  </sheetPr>
  <dimension ref="A1:H18"/>
  <sheetViews>
    <sheetView workbookViewId="0">
      <selection activeCell="I43" sqref="I43"/>
    </sheetView>
  </sheetViews>
  <sheetFormatPr defaultColWidth="8.77734375" defaultRowHeight="14.4"/>
  <cols>
    <col min="1" max="1" width="33.77734375" style="328" customWidth="1"/>
    <col min="2" max="16384" width="8.77734375" style="328"/>
  </cols>
  <sheetData>
    <row r="1" spans="1:8" s="697" customFormat="1" ht="17.399999999999999">
      <c r="A1" s="696" t="s">
        <v>1135</v>
      </c>
    </row>
    <row r="2" spans="1:8" s="697" customFormat="1" ht="15.6">
      <c r="A2" s="698"/>
    </row>
    <row r="3" spans="1:8" s="697" customFormat="1"/>
    <row r="4" spans="1:8" s="697" customFormat="1" ht="154.19999999999999" customHeight="1">
      <c r="A4" s="793" t="s">
        <v>1136</v>
      </c>
      <c r="B4" s="793"/>
      <c r="C4" s="793"/>
      <c r="D4" s="793"/>
      <c r="E4" s="793"/>
      <c r="F4" s="793"/>
      <c r="G4" s="793"/>
      <c r="H4" s="793"/>
    </row>
    <row r="5" spans="1:8" s="697" customFormat="1" ht="15.6">
      <c r="A5" s="699"/>
    </row>
    <row r="6" spans="1:8" s="697" customFormat="1" ht="16.2">
      <c r="A6" s="700" t="s">
        <v>1137</v>
      </c>
      <c r="B6" s="701" t="s">
        <v>1138</v>
      </c>
      <c r="D6" s="700" t="s">
        <v>1139</v>
      </c>
      <c r="E6" s="700" t="s">
        <v>1140</v>
      </c>
      <c r="F6" s="700" t="s">
        <v>1141</v>
      </c>
      <c r="G6" s="700" t="s">
        <v>1142</v>
      </c>
      <c r="H6" s="700" t="s">
        <v>1143</v>
      </c>
    </row>
    <row r="7" spans="1:8" s="697" customFormat="1" ht="18">
      <c r="A7" s="702" t="s">
        <v>1144</v>
      </c>
      <c r="B7" s="701">
        <v>40</v>
      </c>
      <c r="D7" s="700" t="s">
        <v>1140</v>
      </c>
      <c r="E7" s="700">
        <v>1</v>
      </c>
      <c r="F7" s="700">
        <f>E8</f>
        <v>0.25</v>
      </c>
      <c r="G7" s="700">
        <f>E9</f>
        <v>0.125</v>
      </c>
      <c r="H7" s="700">
        <f>E10</f>
        <v>0.125</v>
      </c>
    </row>
    <row r="8" spans="1:8" s="697" customFormat="1" ht="18">
      <c r="A8" s="702" t="s">
        <v>1145</v>
      </c>
      <c r="B8" s="701">
        <v>0</v>
      </c>
      <c r="D8" s="700" t="s">
        <v>1141</v>
      </c>
      <c r="E8" s="700">
        <v>0.25</v>
      </c>
      <c r="F8" s="700">
        <v>1</v>
      </c>
      <c r="G8" s="700">
        <f>F9</f>
        <v>0.5</v>
      </c>
      <c r="H8" s="700">
        <f>F10</f>
        <v>0.25</v>
      </c>
    </row>
    <row r="9" spans="1:8" s="697" customFormat="1" ht="18">
      <c r="A9" s="702" t="s">
        <v>1146</v>
      </c>
      <c r="B9" s="701">
        <v>10</v>
      </c>
      <c r="D9" s="700" t="s">
        <v>1142</v>
      </c>
      <c r="E9" s="700">
        <v>0.125</v>
      </c>
      <c r="F9" s="700">
        <v>0.5</v>
      </c>
      <c r="G9" s="700">
        <v>1</v>
      </c>
      <c r="H9" s="700">
        <f>G10</f>
        <v>0</v>
      </c>
    </row>
    <row r="10" spans="1:8" s="697" customFormat="1" ht="18">
      <c r="A10" s="702" t="s">
        <v>1147</v>
      </c>
      <c r="B10" s="701">
        <v>0</v>
      </c>
      <c r="D10" s="700" t="s">
        <v>1143</v>
      </c>
      <c r="E10" s="700">
        <v>0.125</v>
      </c>
      <c r="F10" s="700">
        <v>0.25</v>
      </c>
      <c r="G10" s="700">
        <v>0</v>
      </c>
      <c r="H10" s="700">
        <v>1</v>
      </c>
    </row>
    <row r="11" spans="1:8" s="697" customFormat="1" ht="15.6">
      <c r="A11" s="702" t="s">
        <v>1148</v>
      </c>
      <c r="B11" s="703">
        <v>0.02</v>
      </c>
    </row>
    <row r="12" spans="1:8" s="697" customFormat="1" ht="15.6">
      <c r="A12" s="702" t="s">
        <v>1149</v>
      </c>
      <c r="B12" s="701">
        <v>0</v>
      </c>
    </row>
    <row r="13" spans="1:8" s="697" customFormat="1" ht="15.6">
      <c r="A13" s="699"/>
      <c r="B13" s="704"/>
    </row>
    <row r="14" spans="1:8" s="697" customFormat="1" ht="15.6">
      <c r="A14" s="705"/>
      <c r="B14" s="701" t="s">
        <v>1138</v>
      </c>
      <c r="C14" s="701" t="s">
        <v>3</v>
      </c>
      <c r="D14" s="701" t="s">
        <v>44</v>
      </c>
      <c r="E14" s="701" t="s">
        <v>45</v>
      </c>
      <c r="F14" s="701" t="s">
        <v>52</v>
      </c>
      <c r="G14" s="701" t="s">
        <v>53</v>
      </c>
    </row>
    <row r="15" spans="1:8" s="697" customFormat="1" ht="15.6">
      <c r="A15" s="702" t="s">
        <v>1150</v>
      </c>
      <c r="B15" s="706">
        <v>900</v>
      </c>
      <c r="C15" s="706">
        <v>800</v>
      </c>
      <c r="D15" s="706">
        <v>720</v>
      </c>
      <c r="E15" s="706">
        <v>560</v>
      </c>
      <c r="F15" s="706">
        <v>340</v>
      </c>
      <c r="G15" s="702">
        <v>0</v>
      </c>
    </row>
    <row r="16" spans="1:8" s="697" customFormat="1" ht="15.6">
      <c r="A16" s="702" t="s">
        <v>1151</v>
      </c>
      <c r="B16" s="707"/>
      <c r="C16" s="707">
        <v>4.4999999999999998E-2</v>
      </c>
      <c r="D16" s="707">
        <v>4.4999999999999998E-2</v>
      </c>
      <c r="E16" s="707">
        <v>4.4999999999999998E-2</v>
      </c>
      <c r="F16" s="707">
        <v>4.4999999999999998E-2</v>
      </c>
      <c r="G16" s="707">
        <v>4.4999999999999998E-2</v>
      </c>
    </row>
    <row r="17" spans="1:2" s="697" customFormat="1" ht="15.6">
      <c r="A17" s="699"/>
    </row>
    <row r="18" spans="1:2" s="697" customFormat="1" ht="15.6">
      <c r="A18" s="702" t="s">
        <v>1152</v>
      </c>
      <c r="B18" s="703">
        <v>1.75</v>
      </c>
    </row>
  </sheetData>
  <mergeCells count="1">
    <mergeCell ref="A4:H4"/>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B06B-83DE-4642-8D76-490D4E18FC3C}">
  <sheetPr>
    <tabColor rgb="FFF1DBF1"/>
  </sheetPr>
  <dimension ref="B1:D28"/>
  <sheetViews>
    <sheetView workbookViewId="0">
      <selection activeCell="I43" sqref="I43"/>
    </sheetView>
  </sheetViews>
  <sheetFormatPr defaultColWidth="8.77734375" defaultRowHeight="14.4"/>
  <cols>
    <col min="1" max="1" width="8.77734375" style="328"/>
    <col min="2" max="2" width="53.77734375" style="328" customWidth="1"/>
    <col min="3" max="16384" width="8.77734375" style="328"/>
  </cols>
  <sheetData>
    <row r="1" spans="2:3" s="708" customFormat="1" ht="13.8"/>
    <row r="2" spans="2:3" s="708" customFormat="1" ht="13.8">
      <c r="B2" s="709" t="s">
        <v>1153</v>
      </c>
    </row>
    <row r="3" spans="2:3" s="708" customFormat="1" ht="13.8"/>
    <row r="4" spans="2:3" s="708" customFormat="1" ht="13.8">
      <c r="B4" s="708" t="s">
        <v>1154</v>
      </c>
    </row>
    <row r="5" spans="2:3" s="708" customFormat="1" ht="13.8"/>
    <row r="6" spans="2:3" s="708" customFormat="1" ht="13.8"/>
    <row r="7" spans="2:3" s="711" customFormat="1" ht="13.2">
      <c r="B7" s="710" t="s">
        <v>1155</v>
      </c>
    </row>
    <row r="8" spans="2:3" s="711" customFormat="1" ht="13.8">
      <c r="B8" s="711" t="s">
        <v>1156</v>
      </c>
      <c r="C8" s="712">
        <v>0.4</v>
      </c>
    </row>
    <row r="9" spans="2:3" s="711" customFormat="1" ht="13.8">
      <c r="B9" s="711" t="s">
        <v>1157</v>
      </c>
      <c r="C9" s="712">
        <v>0.6</v>
      </c>
    </row>
    <row r="10" spans="2:3" s="711" customFormat="1" ht="13.2"/>
    <row r="11" spans="2:3" s="711" customFormat="1" ht="13.2">
      <c r="B11" s="710" t="s">
        <v>569</v>
      </c>
    </row>
    <row r="12" spans="2:3" s="711" customFormat="1" ht="13.2">
      <c r="B12" s="711" t="s">
        <v>1158</v>
      </c>
      <c r="C12" s="713">
        <v>0.05</v>
      </c>
    </row>
    <row r="13" spans="2:3" s="711" customFormat="1" ht="13.2">
      <c r="B13" s="711" t="s">
        <v>1159</v>
      </c>
      <c r="C13" s="714">
        <v>1E-3</v>
      </c>
    </row>
    <row r="14" spans="2:3" s="711" customFormat="1" ht="13.2">
      <c r="B14" s="711" t="s">
        <v>1160</v>
      </c>
      <c r="C14" s="713">
        <v>0.12</v>
      </c>
    </row>
    <row r="15" spans="2:3" s="711" customFormat="1" ht="13.8">
      <c r="B15" s="711" t="s">
        <v>1161</v>
      </c>
      <c r="C15" s="712">
        <v>0.12</v>
      </c>
    </row>
    <row r="16" spans="2:3" s="711" customFormat="1" ht="13.8">
      <c r="B16" s="711" t="s">
        <v>1162</v>
      </c>
      <c r="C16" s="712">
        <v>0.06</v>
      </c>
    </row>
    <row r="17" spans="2:4" s="711" customFormat="1" ht="13.8">
      <c r="B17" s="711" t="s">
        <v>459</v>
      </c>
      <c r="C17" s="712">
        <v>0</v>
      </c>
    </row>
    <row r="18" spans="2:4" s="711" customFormat="1" ht="13.2"/>
    <row r="19" spans="2:4" s="711" customFormat="1" ht="13.2">
      <c r="B19" s="710" t="s">
        <v>1163</v>
      </c>
    </row>
    <row r="20" spans="2:4" s="711" customFormat="1" ht="13.2">
      <c r="B20" s="711" t="s">
        <v>1164</v>
      </c>
      <c r="C20" s="713">
        <v>0.22</v>
      </c>
    </row>
    <row r="21" spans="2:4" s="711" customFormat="1" ht="13.2">
      <c r="B21" s="711" t="s">
        <v>1165</v>
      </c>
      <c r="C21" s="713">
        <v>0.15</v>
      </c>
    </row>
    <row r="22" spans="2:4" s="711" customFormat="1" ht="13.2">
      <c r="B22" s="711" t="s">
        <v>1166</v>
      </c>
      <c r="C22" s="713">
        <v>1.2</v>
      </c>
    </row>
    <row r="23" spans="2:4" s="711" customFormat="1" ht="13.2"/>
    <row r="24" spans="2:4" s="711" customFormat="1" ht="13.2">
      <c r="B24" s="710" t="s">
        <v>1167</v>
      </c>
    </row>
    <row r="25" spans="2:4" s="711" customFormat="1" ht="13.2">
      <c r="B25" s="711" t="s">
        <v>1168</v>
      </c>
      <c r="C25" s="711">
        <v>1000</v>
      </c>
      <c r="D25" s="711" t="s">
        <v>1169</v>
      </c>
    </row>
    <row r="26" spans="2:4" s="711" customFormat="1" ht="13.2">
      <c r="B26" s="711" t="s">
        <v>1170</v>
      </c>
      <c r="C26" s="713">
        <v>0.02</v>
      </c>
      <c r="D26" s="711" t="s">
        <v>1171</v>
      </c>
    </row>
    <row r="27" spans="2:4" s="711" customFormat="1" ht="13.2">
      <c r="B27" s="711" t="s">
        <v>1172</v>
      </c>
      <c r="C27" s="713">
        <v>0.01</v>
      </c>
      <c r="D27" s="711" t="s">
        <v>1169</v>
      </c>
    </row>
    <row r="28" spans="2:4" s="715" customFormat="1"/>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7A971-7A7A-4A5C-9A48-AAE438B7A40B}">
  <sheetPr>
    <tabColor rgb="FFF1DBF1"/>
  </sheetPr>
  <dimension ref="B2:D40"/>
  <sheetViews>
    <sheetView workbookViewId="0">
      <selection activeCell="I43" sqref="I43"/>
    </sheetView>
  </sheetViews>
  <sheetFormatPr defaultColWidth="8.77734375" defaultRowHeight="14.4"/>
  <cols>
    <col min="1" max="16384" width="8.77734375" style="328"/>
  </cols>
  <sheetData>
    <row r="2" spans="2:4" s="715" customFormat="1" ht="15.6">
      <c r="B2" s="716" t="s">
        <v>1173</v>
      </c>
    </row>
    <row r="3" spans="2:4" s="715" customFormat="1"/>
    <row r="4" spans="2:4" s="715" customFormat="1" ht="15.6">
      <c r="B4" s="716" t="s">
        <v>1174</v>
      </c>
    </row>
    <row r="5" spans="2:4" s="715" customFormat="1" ht="15.6">
      <c r="B5" s="716"/>
    </row>
    <row r="6" spans="2:4" s="715" customFormat="1" ht="15.6">
      <c r="B6" s="716" t="s">
        <v>1175</v>
      </c>
    </row>
    <row r="7" spans="2:4" s="715" customFormat="1" ht="15.6">
      <c r="B7" s="716"/>
    </row>
    <row r="8" spans="2:4" s="715" customFormat="1" ht="15.6">
      <c r="B8" s="716" t="s">
        <v>1176</v>
      </c>
    </row>
    <row r="9" spans="2:4" s="715" customFormat="1" ht="15.6">
      <c r="B9" s="716"/>
    </row>
    <row r="10" spans="2:4" s="715" customFormat="1" ht="15.6">
      <c r="B10" s="716" t="s">
        <v>763</v>
      </c>
    </row>
    <row r="11" spans="2:4" s="715" customFormat="1" ht="15.6">
      <c r="B11" s="716"/>
    </row>
    <row r="12" spans="2:4" s="715" customFormat="1" ht="15.6">
      <c r="B12" s="717" t="s">
        <v>1177</v>
      </c>
      <c r="D12" s="715">
        <v>4</v>
      </c>
    </row>
    <row r="13" spans="2:4" s="715" customFormat="1" ht="15.6">
      <c r="B13" s="717" t="s">
        <v>1178</v>
      </c>
      <c r="D13" s="715">
        <v>1</v>
      </c>
    </row>
    <row r="14" spans="2:4" s="715" customFormat="1" ht="15.6">
      <c r="B14" s="717" t="s">
        <v>1179</v>
      </c>
      <c r="D14" s="715">
        <v>20</v>
      </c>
    </row>
    <row r="15" spans="2:4" s="715" customFormat="1">
      <c r="B15" s="718"/>
    </row>
    <row r="16" spans="2:4" s="715" customFormat="1" ht="15.6">
      <c r="B16" s="716"/>
    </row>
    <row r="17" spans="2:2" s="715" customFormat="1" ht="15.6">
      <c r="B17" s="716" t="s">
        <v>1180</v>
      </c>
    </row>
    <row r="18" spans="2:2" s="715" customFormat="1">
      <c r="B18" s="718"/>
    </row>
    <row r="19" spans="2:2" s="715" customFormat="1" ht="15.6">
      <c r="B19" s="719" t="s">
        <v>1181</v>
      </c>
    </row>
    <row r="20" spans="2:2" s="715" customFormat="1" ht="15.6">
      <c r="B20" s="719" t="s">
        <v>1182</v>
      </c>
    </row>
    <row r="21" spans="2:2" s="715" customFormat="1" ht="15.6">
      <c r="B21" s="720"/>
    </row>
    <row r="22" spans="2:2" s="715" customFormat="1" ht="15.6">
      <c r="B22" s="720" t="s">
        <v>1183</v>
      </c>
    </row>
    <row r="23" spans="2:2" s="715" customFormat="1"/>
    <row r="24" spans="2:2" s="715" customFormat="1"/>
    <row r="25" spans="2:2" s="715" customFormat="1"/>
    <row r="26" spans="2:2" s="715" customFormat="1" ht="18">
      <c r="B26" s="716" t="s">
        <v>1184</v>
      </c>
    </row>
    <row r="27" spans="2:2" s="715" customFormat="1" ht="15.6">
      <c r="B27" s="716"/>
    </row>
    <row r="28" spans="2:2" s="715" customFormat="1" ht="15.6">
      <c r="B28" s="721" t="s">
        <v>1185</v>
      </c>
    </row>
    <row r="29" spans="2:2" s="715" customFormat="1" ht="15.6">
      <c r="B29" s="721" t="s">
        <v>1186</v>
      </c>
    </row>
    <row r="30" spans="2:2" s="715" customFormat="1" ht="15.6">
      <c r="B30" s="716"/>
    </row>
    <row r="31" spans="2:2" s="715" customFormat="1" ht="15.6">
      <c r="B31" s="716" t="s">
        <v>1187</v>
      </c>
    </row>
    <row r="32" spans="2:2" s="715" customFormat="1" ht="15.6">
      <c r="B32" s="716"/>
    </row>
    <row r="33" spans="2:2" s="715" customFormat="1" ht="15.6">
      <c r="B33" s="716" t="s">
        <v>1188</v>
      </c>
    </row>
    <row r="34" spans="2:2" s="715" customFormat="1" ht="15.6">
      <c r="B34" s="716"/>
    </row>
    <row r="35" spans="2:2" s="715" customFormat="1" ht="15.6">
      <c r="B35" s="722" t="s">
        <v>1189</v>
      </c>
    </row>
    <row r="36" spans="2:2" s="715" customFormat="1" ht="15.6">
      <c r="B36" s="716"/>
    </row>
    <row r="37" spans="2:2" s="715" customFormat="1" ht="15.6">
      <c r="B37" s="722" t="s">
        <v>1190</v>
      </c>
    </row>
    <row r="38" spans="2:2" s="715" customFormat="1" ht="15.6">
      <c r="B38" s="723"/>
    </row>
    <row r="39" spans="2:2" s="715" customFormat="1" ht="15.6">
      <c r="B39" s="722" t="s">
        <v>1191</v>
      </c>
    </row>
    <row r="40" spans="2:2" s="715" customFormat="1"/>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C6AB-583F-4A1E-8420-D95A883A1AE8}">
  <sheetPr>
    <tabColor rgb="FFFF0000"/>
  </sheetPr>
  <dimension ref="B1:C26"/>
  <sheetViews>
    <sheetView workbookViewId="0">
      <selection activeCell="B4" sqref="B4"/>
    </sheetView>
  </sheetViews>
  <sheetFormatPr defaultColWidth="8.77734375" defaultRowHeight="14.4"/>
  <cols>
    <col min="1" max="1" width="8.77734375" style="328"/>
    <col min="2" max="2" width="35.77734375" style="328" customWidth="1"/>
    <col min="3" max="3" width="12.21875" style="328" bestFit="1" customWidth="1"/>
    <col min="4" max="16384" width="8.77734375" style="328"/>
  </cols>
  <sheetData>
    <row r="1" spans="2:3" s="715" customFormat="1"/>
    <row r="2" spans="2:3" s="715" customFormat="1" ht="15.6">
      <c r="B2" s="716" t="s">
        <v>1192</v>
      </c>
    </row>
    <row r="3" spans="2:3" s="715" customFormat="1"/>
    <row r="4" spans="2:3" s="715" customFormat="1" ht="15.6">
      <c r="B4" s="724" t="s">
        <v>1193</v>
      </c>
    </row>
    <row r="5" spans="2:3" s="715" customFormat="1" ht="16.2" thickBot="1">
      <c r="B5" s="724"/>
    </row>
    <row r="6" spans="2:3" s="715" customFormat="1" ht="16.2" thickBot="1">
      <c r="B6" s="725" t="s">
        <v>1194</v>
      </c>
      <c r="C6" s="726">
        <v>50000000</v>
      </c>
    </row>
    <row r="7" spans="2:3" s="715" customFormat="1" ht="16.2" thickBot="1">
      <c r="B7" s="727" t="s">
        <v>1195</v>
      </c>
      <c r="C7" s="728">
        <v>2500000</v>
      </c>
    </row>
    <row r="8" spans="2:3" s="715" customFormat="1" ht="31.8" thickBot="1">
      <c r="B8" s="727" t="s">
        <v>1196</v>
      </c>
      <c r="C8" s="728">
        <v>1500000</v>
      </c>
    </row>
    <row r="9" spans="2:3" s="715" customFormat="1" ht="31.8" thickBot="1">
      <c r="B9" s="727" t="s">
        <v>1197</v>
      </c>
      <c r="C9" s="728">
        <v>1000000</v>
      </c>
    </row>
    <row r="10" spans="2:3" s="715" customFormat="1" ht="16.2" thickBot="1">
      <c r="B10" s="727" t="s">
        <v>1198</v>
      </c>
      <c r="C10" s="728">
        <v>100000000</v>
      </c>
    </row>
    <row r="11" spans="2:3" s="715" customFormat="1" ht="16.2" thickBot="1">
      <c r="B11" s="727" t="s">
        <v>1199</v>
      </c>
      <c r="C11" s="728">
        <v>90000000</v>
      </c>
    </row>
    <row r="12" spans="2:3" s="715" customFormat="1" ht="16.2" thickBot="1">
      <c r="B12" s="727" t="s">
        <v>1200</v>
      </c>
      <c r="C12" s="728">
        <v>75000000</v>
      </c>
    </row>
    <row r="13" spans="2:3" s="715" customFormat="1" ht="16.2" thickBot="1">
      <c r="B13" s="727" t="s">
        <v>1201</v>
      </c>
      <c r="C13" s="728">
        <v>40000000</v>
      </c>
    </row>
    <row r="14" spans="2:3" s="715" customFormat="1" ht="16.2" thickBot="1">
      <c r="B14" s="727" t="s">
        <v>1202</v>
      </c>
      <c r="C14" s="728">
        <v>20000000</v>
      </c>
    </row>
    <row r="15" spans="2:3" s="715" customFormat="1"/>
    <row r="16" spans="2:3" s="715" customFormat="1" ht="15.6">
      <c r="B16" s="729" t="s">
        <v>460</v>
      </c>
    </row>
    <row r="17" spans="2:2" s="715" customFormat="1" ht="15.6">
      <c r="B17" s="729"/>
    </row>
    <row r="18" spans="2:2" s="715" customFormat="1" ht="15.6">
      <c r="B18" s="722" t="s">
        <v>1203</v>
      </c>
    </row>
    <row r="19" spans="2:2" s="715" customFormat="1" ht="15.6">
      <c r="B19" s="723"/>
    </row>
    <row r="20" spans="2:2" s="715" customFormat="1" ht="15.6">
      <c r="B20" s="722" t="s">
        <v>1204</v>
      </c>
    </row>
    <row r="21" spans="2:2" s="715" customFormat="1" ht="15.6">
      <c r="B21" s="723"/>
    </row>
    <row r="22" spans="2:2" s="715" customFormat="1" ht="15.6">
      <c r="B22" s="722" t="s">
        <v>1205</v>
      </c>
    </row>
    <row r="23" spans="2:2" s="715" customFormat="1" ht="15.6">
      <c r="B23" s="729"/>
    </row>
    <row r="24" spans="2:2" s="715" customFormat="1" ht="15.6">
      <c r="B24" s="722" t="s">
        <v>1206</v>
      </c>
    </row>
    <row r="25" spans="2:2" s="715" customFormat="1" ht="15.6">
      <c r="B25" s="729"/>
    </row>
    <row r="26" spans="2:2" s="715" customFormat="1" ht="15.6">
      <c r="B26" s="729" t="s">
        <v>467</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7181-B859-469A-B84A-3B0111B2447E}">
  <sheetPr>
    <tabColor rgb="FFFF0000"/>
  </sheetPr>
  <dimension ref="B1:F12"/>
  <sheetViews>
    <sheetView workbookViewId="0">
      <selection activeCell="D18" sqref="D18"/>
    </sheetView>
  </sheetViews>
  <sheetFormatPr defaultColWidth="8.77734375" defaultRowHeight="14.4"/>
  <cols>
    <col min="1" max="3" width="8.77734375" style="328"/>
    <col min="4" max="4" width="16.77734375" style="328" bestFit="1" customWidth="1"/>
    <col min="5" max="5" width="16.5546875" style="328" bestFit="1" customWidth="1"/>
    <col min="6" max="6" width="25" style="328" bestFit="1" customWidth="1"/>
    <col min="7" max="16384" width="8.77734375" style="328"/>
  </cols>
  <sheetData>
    <row r="1" spans="2:6" s="730" customFormat="1" ht="13.8"/>
    <row r="2" spans="2:6" s="730" customFormat="1" ht="13.8">
      <c r="B2" s="730" t="s">
        <v>1207</v>
      </c>
    </row>
    <row r="3" spans="2:6" s="730" customFormat="1" ht="13.8"/>
    <row r="4" spans="2:6" s="730" customFormat="1" ht="13.8">
      <c r="B4" s="730" t="s">
        <v>1208</v>
      </c>
    </row>
    <row r="5" spans="2:6" s="730" customFormat="1" ht="13.8"/>
    <row r="6" spans="2:6" s="730" customFormat="1" ht="13.8"/>
    <row r="7" spans="2:6" s="730" customFormat="1" ht="13.8">
      <c r="C7" s="731" t="s">
        <v>70</v>
      </c>
      <c r="D7" s="731" t="s">
        <v>1209</v>
      </c>
      <c r="E7" s="731" t="s">
        <v>1210</v>
      </c>
      <c r="F7" s="731" t="s">
        <v>370</v>
      </c>
    </row>
    <row r="8" spans="2:6" s="730" customFormat="1" ht="13.8">
      <c r="B8" s="731">
        <v>2020</v>
      </c>
      <c r="C8" s="730">
        <v>500</v>
      </c>
      <c r="D8" s="730">
        <v>510</v>
      </c>
      <c r="E8" s="730">
        <v>0.05</v>
      </c>
      <c r="F8" s="730">
        <v>40</v>
      </c>
    </row>
    <row r="9" spans="2:6" s="730" customFormat="1" ht="13.8">
      <c r="B9" s="731">
        <v>2021</v>
      </c>
      <c r="C9" s="730">
        <v>300</v>
      </c>
      <c r="D9" s="730">
        <v>850</v>
      </c>
      <c r="E9" s="730">
        <v>0.04</v>
      </c>
      <c r="F9" s="730">
        <v>45</v>
      </c>
    </row>
    <row r="10" spans="2:6" s="730" customFormat="1" ht="13.8">
      <c r="B10" s="731">
        <v>2022</v>
      </c>
      <c r="C10" s="730">
        <v>300</v>
      </c>
      <c r="D10" s="730">
        <v>1200</v>
      </c>
      <c r="E10" s="730">
        <v>0.03</v>
      </c>
      <c r="F10" s="730">
        <v>50</v>
      </c>
    </row>
    <row r="11" spans="2:6" s="730" customFormat="1" ht="13.8"/>
    <row r="12" spans="2:6" s="730" customFormat="1" ht="13.8"/>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40703-BFEC-4187-A31A-272AF928F9F4}">
  <sheetPr>
    <tabColor theme="8" tint="0.79998168889431442"/>
  </sheetPr>
  <dimension ref="A1:L57"/>
  <sheetViews>
    <sheetView workbookViewId="0">
      <selection activeCell="B14" sqref="B14"/>
    </sheetView>
  </sheetViews>
  <sheetFormatPr defaultColWidth="8.77734375" defaultRowHeight="14.4"/>
  <cols>
    <col min="1" max="1" width="18.77734375" style="40" customWidth="1"/>
    <col min="2" max="2" width="110" style="40" bestFit="1" customWidth="1"/>
    <col min="3" max="3" width="14.77734375" style="40" bestFit="1" customWidth="1"/>
    <col min="4" max="4" width="11.109375" style="40" bestFit="1" customWidth="1"/>
    <col min="5" max="16384" width="8.77734375" style="40"/>
  </cols>
  <sheetData>
    <row r="1" spans="1:7" ht="17.399999999999999">
      <c r="A1" s="88" t="s">
        <v>250</v>
      </c>
      <c r="B1" s="89"/>
      <c r="C1" s="89"/>
      <c r="D1" s="89"/>
    </row>
    <row r="2" spans="1:7" ht="15.6">
      <c r="A2" s="90" t="s">
        <v>215</v>
      </c>
      <c r="B2" s="89"/>
      <c r="C2" s="89"/>
      <c r="D2" s="89"/>
    </row>
    <row r="3" spans="1:7" ht="17.399999999999999">
      <c r="A3" s="88"/>
      <c r="B3" s="89"/>
      <c r="C3" s="89"/>
      <c r="D3" s="89"/>
    </row>
    <row r="4" spans="1:7" ht="15.6">
      <c r="A4" s="99" t="s">
        <v>251</v>
      </c>
      <c r="B4" s="100"/>
      <c r="C4" s="100"/>
      <c r="D4" s="100"/>
      <c r="E4" s="152"/>
      <c r="F4" s="152"/>
      <c r="G4" s="152"/>
    </row>
    <row r="5" spans="1:7" ht="15.6">
      <c r="A5" s="99"/>
      <c r="B5" s="100"/>
      <c r="C5" s="100"/>
      <c r="D5" s="100"/>
      <c r="E5" s="152"/>
      <c r="F5" s="152"/>
      <c r="G5" s="152"/>
    </row>
    <row r="6" spans="1:7" ht="15.6">
      <c r="A6" s="99"/>
      <c r="B6" s="90" t="s">
        <v>252</v>
      </c>
      <c r="C6" s="153">
        <v>22000</v>
      </c>
      <c r="D6" s="100"/>
      <c r="E6" s="152"/>
      <c r="F6" s="152"/>
      <c r="G6" s="152"/>
    </row>
    <row r="7" spans="1:7" ht="15.6">
      <c r="A7" s="99"/>
      <c r="B7" s="90" t="s">
        <v>253</v>
      </c>
      <c r="C7" s="153">
        <v>8000</v>
      </c>
      <c r="D7" s="100"/>
      <c r="E7" s="152"/>
      <c r="F7" s="152"/>
      <c r="G7" s="152"/>
    </row>
    <row r="8" spans="1:7" ht="15.6">
      <c r="A8" s="99"/>
      <c r="B8" s="90" t="s">
        <v>254</v>
      </c>
      <c r="C8" s="153">
        <v>1200</v>
      </c>
      <c r="D8" s="100"/>
      <c r="E8" s="152"/>
      <c r="F8" s="152"/>
      <c r="G8" s="152"/>
    </row>
    <row r="9" spans="1:7" ht="15.6">
      <c r="A9" s="99"/>
      <c r="B9" s="90" t="s">
        <v>131</v>
      </c>
      <c r="C9" s="90">
        <v>700</v>
      </c>
      <c r="D9" s="100"/>
      <c r="E9" s="152"/>
      <c r="F9" s="152"/>
      <c r="G9" s="152"/>
    </row>
    <row r="10" spans="1:7" ht="15.6">
      <c r="A10" s="99"/>
      <c r="B10" s="90" t="s">
        <v>255</v>
      </c>
      <c r="C10" s="153">
        <v>1200</v>
      </c>
      <c r="D10" s="100"/>
      <c r="E10" s="152"/>
      <c r="F10" s="152"/>
      <c r="G10" s="152"/>
    </row>
    <row r="11" spans="1:7" ht="15.6">
      <c r="A11" s="99"/>
      <c r="B11" s="90" t="s">
        <v>256</v>
      </c>
      <c r="C11" s="153">
        <v>3000</v>
      </c>
      <c r="D11" s="100"/>
      <c r="E11" s="152"/>
      <c r="F11" s="152"/>
      <c r="G11" s="152"/>
    </row>
    <row r="12" spans="1:7" ht="15.6">
      <c r="A12" s="99"/>
      <c r="B12" s="90" t="s">
        <v>257</v>
      </c>
      <c r="C12" s="153">
        <v>5000</v>
      </c>
      <c r="D12" s="100"/>
      <c r="E12" s="152"/>
      <c r="F12" s="152"/>
      <c r="G12" s="152"/>
    </row>
    <row r="13" spans="1:7" ht="15.6">
      <c r="A13" s="99"/>
      <c r="B13" s="90" t="s">
        <v>258</v>
      </c>
      <c r="C13" s="154">
        <v>2.5000000000000001E-2</v>
      </c>
      <c r="D13" s="100"/>
      <c r="E13" s="152"/>
      <c r="F13" s="152"/>
      <c r="G13" s="152"/>
    </row>
    <row r="14" spans="1:7" ht="15.6">
      <c r="A14" s="99"/>
      <c r="B14" s="90" t="s">
        <v>259</v>
      </c>
      <c r="C14" s="154">
        <v>5.7500000000000002E-2</v>
      </c>
      <c r="D14" s="100"/>
      <c r="E14" s="152"/>
      <c r="F14" s="152"/>
      <c r="G14" s="152"/>
    </row>
    <row r="15" spans="1:7" ht="15.6">
      <c r="A15" s="99"/>
      <c r="B15" s="90" t="s">
        <v>260</v>
      </c>
      <c r="C15" s="153">
        <v>2000000</v>
      </c>
      <c r="D15" s="100"/>
      <c r="E15" s="152"/>
      <c r="F15" s="152"/>
      <c r="G15" s="152"/>
    </row>
    <row r="16" spans="1:7" ht="15.6">
      <c r="A16" s="99"/>
      <c r="B16" s="90" t="s">
        <v>261</v>
      </c>
      <c r="C16" s="153">
        <v>3500000</v>
      </c>
      <c r="D16" s="100"/>
      <c r="E16" s="152"/>
      <c r="F16" s="152"/>
      <c r="G16" s="152"/>
    </row>
    <row r="17" spans="1:7" ht="15.6">
      <c r="A17" s="99"/>
      <c r="B17" s="90" t="s">
        <v>262</v>
      </c>
      <c r="C17" s="153">
        <v>40000</v>
      </c>
      <c r="D17" s="100"/>
      <c r="E17" s="152"/>
      <c r="F17" s="152"/>
      <c r="G17" s="152"/>
    </row>
    <row r="18" spans="1:7" ht="15.6">
      <c r="A18" s="99"/>
      <c r="B18" s="90" t="s">
        <v>263</v>
      </c>
      <c r="C18" s="153">
        <v>3875</v>
      </c>
      <c r="D18" s="100"/>
      <c r="E18" s="152"/>
      <c r="F18" s="152"/>
      <c r="G18" s="152"/>
    </row>
    <row r="19" spans="1:7" ht="15.6">
      <c r="A19" s="99"/>
      <c r="B19" s="90" t="s">
        <v>264</v>
      </c>
      <c r="C19" s="153">
        <v>20000</v>
      </c>
      <c r="D19" s="100"/>
      <c r="E19" s="152"/>
      <c r="F19" s="152"/>
      <c r="G19" s="152"/>
    </row>
    <row r="20" spans="1:7" ht="15.6">
      <c r="A20" s="99"/>
      <c r="B20" s="90" t="s">
        <v>265</v>
      </c>
      <c r="C20" s="153">
        <v>2300</v>
      </c>
      <c r="D20" s="100"/>
      <c r="E20" s="152"/>
      <c r="F20" s="152"/>
      <c r="G20" s="152"/>
    </row>
    <row r="21" spans="1:7" ht="15.6">
      <c r="A21" s="99"/>
      <c r="B21" s="90" t="s">
        <v>266</v>
      </c>
      <c r="C21" s="90">
        <v>400</v>
      </c>
      <c r="D21" s="100"/>
      <c r="E21" s="152"/>
      <c r="F21" s="152"/>
      <c r="G21" s="152"/>
    </row>
    <row r="22" spans="1:7" ht="15.6">
      <c r="A22" s="99"/>
      <c r="B22" s="90" t="s">
        <v>267</v>
      </c>
      <c r="C22" s="153">
        <v>22500</v>
      </c>
      <c r="D22" s="100"/>
      <c r="E22" s="152"/>
      <c r="F22" s="152"/>
      <c r="G22" s="152"/>
    </row>
    <row r="23" spans="1:7" ht="15.6">
      <c r="A23" s="99"/>
      <c r="B23" s="90" t="s">
        <v>268</v>
      </c>
      <c r="C23" s="153">
        <v>20500</v>
      </c>
      <c r="D23" s="100"/>
      <c r="E23" s="152"/>
      <c r="F23" s="152"/>
      <c r="G23" s="152"/>
    </row>
    <row r="24" spans="1:7" ht="15.6">
      <c r="A24" s="99"/>
      <c r="B24" s="90" t="s">
        <v>269</v>
      </c>
      <c r="C24" s="153">
        <v>21300</v>
      </c>
      <c r="D24" s="100"/>
      <c r="E24" s="152"/>
      <c r="F24" s="152"/>
      <c r="G24" s="152"/>
    </row>
    <row r="25" spans="1:7" ht="15.6">
      <c r="A25" s="99"/>
      <c r="B25" s="90" t="s">
        <v>270</v>
      </c>
      <c r="C25" s="153">
        <v>21000</v>
      </c>
      <c r="D25" s="100"/>
      <c r="E25" s="152"/>
      <c r="F25" s="152"/>
      <c r="G25" s="152"/>
    </row>
    <row r="26" spans="1:7" ht="16.2" thickBot="1">
      <c r="A26" s="99"/>
      <c r="B26" s="100"/>
      <c r="C26" s="100"/>
      <c r="D26" s="100"/>
      <c r="E26" s="152"/>
      <c r="F26" s="152"/>
      <c r="G26" s="152"/>
    </row>
    <row r="27" spans="1:7" ht="16.2" thickBot="1">
      <c r="A27" s="99"/>
      <c r="B27" s="155" t="s">
        <v>271</v>
      </c>
      <c r="C27" s="156" t="s">
        <v>272</v>
      </c>
      <c r="D27" s="156" t="s">
        <v>273</v>
      </c>
      <c r="E27" s="152"/>
      <c r="F27" s="152"/>
      <c r="G27" s="152"/>
    </row>
    <row r="28" spans="1:7" ht="16.2" thickBot="1">
      <c r="A28" s="99"/>
      <c r="B28" s="157" t="s">
        <v>272</v>
      </c>
      <c r="C28" s="158">
        <v>1</v>
      </c>
      <c r="D28" s="158">
        <v>0.5</v>
      </c>
      <c r="E28" s="152"/>
      <c r="F28" s="152"/>
      <c r="G28" s="152"/>
    </row>
    <row r="29" spans="1:7" ht="16.2" thickBot="1">
      <c r="A29" s="159"/>
      <c r="B29" s="157" t="s">
        <v>273</v>
      </c>
      <c r="C29" s="158">
        <v>0.5</v>
      </c>
      <c r="D29" s="158">
        <v>1</v>
      </c>
      <c r="E29" s="152"/>
      <c r="F29" s="152"/>
      <c r="G29" s="152"/>
    </row>
    <row r="30" spans="1:7" ht="15.6">
      <c r="A30" s="159"/>
      <c r="B30" s="94"/>
      <c r="C30" s="160"/>
      <c r="D30" s="160"/>
      <c r="E30" s="152"/>
      <c r="F30" s="152"/>
      <c r="G30" s="152"/>
    </row>
    <row r="31" spans="1:7" s="59" customFormat="1" ht="15.6">
      <c r="A31" s="161" t="s">
        <v>42</v>
      </c>
      <c r="B31" s="94"/>
      <c r="C31" s="160"/>
      <c r="D31" s="160"/>
      <c r="E31" s="162"/>
      <c r="F31" s="162"/>
      <c r="G31" s="162"/>
    </row>
    <row r="32" spans="1:7" s="59" customFormat="1" ht="15.6">
      <c r="A32" s="161"/>
      <c r="B32" s="163" t="s">
        <v>274</v>
      </c>
      <c r="C32" s="160"/>
      <c r="D32" s="160"/>
      <c r="E32" s="162"/>
      <c r="F32" s="162"/>
      <c r="G32" s="162"/>
    </row>
    <row r="33" spans="1:12" s="59" customFormat="1" ht="15.6">
      <c r="A33" s="161"/>
      <c r="B33" s="163" t="s">
        <v>275</v>
      </c>
      <c r="C33" s="160"/>
      <c r="D33" s="160"/>
      <c r="E33" s="162"/>
      <c r="F33" s="162"/>
      <c r="G33" s="162"/>
    </row>
    <row r="34" spans="1:12" s="59" customFormat="1" ht="15.6">
      <c r="A34" s="161"/>
      <c r="B34" s="163" t="s">
        <v>276</v>
      </c>
      <c r="C34" s="125"/>
      <c r="D34" s="125"/>
      <c r="E34" s="162"/>
      <c r="F34" s="162"/>
      <c r="G34" s="162"/>
    </row>
    <row r="35" spans="1:12" s="59" customFormat="1" ht="15.6">
      <c r="A35" s="99"/>
      <c r="B35" s="163" t="s">
        <v>277</v>
      </c>
      <c r="C35" s="125"/>
      <c r="D35" s="125"/>
      <c r="E35" s="162"/>
      <c r="F35" s="162"/>
      <c r="G35" s="162"/>
    </row>
    <row r="36" spans="1:12" ht="15.6">
      <c r="A36" s="93"/>
      <c r="B36" s="100"/>
      <c r="C36" s="100"/>
      <c r="D36" s="100"/>
      <c r="E36" s="152"/>
      <c r="F36" s="152"/>
      <c r="G36" s="152"/>
    </row>
    <row r="37" spans="1:12" ht="15.6">
      <c r="A37" s="99" t="s">
        <v>278</v>
      </c>
      <c r="B37" s="100"/>
      <c r="C37" s="100"/>
      <c r="D37" s="100"/>
      <c r="E37" s="152"/>
      <c r="F37" s="152"/>
      <c r="G37" s="152"/>
    </row>
    <row r="38" spans="1:12" ht="15.6">
      <c r="A38" s="99" t="s">
        <v>34</v>
      </c>
      <c r="B38" s="100"/>
      <c r="C38" s="89"/>
      <c r="D38" s="89"/>
      <c r="I38" s="59"/>
      <c r="J38" s="59"/>
      <c r="K38" s="58"/>
      <c r="L38" s="58"/>
    </row>
    <row r="39" spans="1:12" ht="15.6">
      <c r="A39" s="99"/>
      <c r="B39" s="100"/>
      <c r="C39" s="89"/>
      <c r="D39" s="89"/>
      <c r="I39" s="59"/>
      <c r="J39" s="59"/>
      <c r="K39" s="58"/>
      <c r="L39" s="58"/>
    </row>
    <row r="40" spans="1:12" ht="15.6">
      <c r="A40" s="99" t="s">
        <v>279</v>
      </c>
      <c r="B40" s="100"/>
      <c r="C40" s="100"/>
      <c r="D40" s="100"/>
      <c r="E40" s="152"/>
      <c r="F40" s="152"/>
      <c r="G40" s="152"/>
    </row>
    <row r="41" spans="1:12" ht="15.6">
      <c r="A41" s="99" t="s">
        <v>280</v>
      </c>
      <c r="B41" s="100"/>
      <c r="C41" s="100"/>
      <c r="D41" s="100"/>
      <c r="E41" s="152"/>
      <c r="F41" s="152"/>
      <c r="G41" s="152"/>
    </row>
    <row r="42" spans="1:12" ht="15.6">
      <c r="A42" s="99" t="s">
        <v>281</v>
      </c>
      <c r="B42" s="100"/>
      <c r="C42" s="100"/>
      <c r="D42" s="100"/>
      <c r="E42" s="152"/>
      <c r="F42" s="152"/>
      <c r="G42" s="152"/>
    </row>
    <row r="43" spans="1:12" ht="15.6">
      <c r="A43" s="99" t="s">
        <v>282</v>
      </c>
      <c r="B43" s="100"/>
      <c r="C43" s="100"/>
      <c r="D43" s="100"/>
      <c r="E43" s="152"/>
      <c r="F43" s="152"/>
      <c r="G43" s="152"/>
    </row>
    <row r="44" spans="1:12" ht="15.6">
      <c r="A44" s="99" t="s">
        <v>283</v>
      </c>
      <c r="B44" s="100"/>
      <c r="C44" s="100"/>
      <c r="D44" s="100"/>
      <c r="E44" s="152"/>
      <c r="F44" s="152"/>
      <c r="G44" s="152"/>
    </row>
    <row r="45" spans="1:12" ht="15.6">
      <c r="A45" s="109" t="s">
        <v>22</v>
      </c>
    </row>
    <row r="49" spans="1:12" ht="15.6">
      <c r="A49" s="164"/>
    </row>
    <row r="51" spans="1:12" ht="15.6">
      <c r="A51" s="124" t="s">
        <v>284</v>
      </c>
      <c r="B51" s="89"/>
      <c r="C51" s="89"/>
      <c r="D51" s="89"/>
    </row>
    <row r="52" spans="1:12" ht="15.6">
      <c r="A52" s="99"/>
      <c r="B52" s="100"/>
      <c r="C52" s="89"/>
      <c r="D52" s="89"/>
      <c r="I52" s="59"/>
      <c r="J52" s="59"/>
      <c r="K52" s="58"/>
      <c r="L52" s="58"/>
    </row>
    <row r="53" spans="1:12" s="59" customFormat="1" ht="15.6">
      <c r="A53" s="99" t="s">
        <v>285</v>
      </c>
      <c r="B53" s="123"/>
      <c r="C53" s="123"/>
      <c r="D53" s="123"/>
    </row>
    <row r="54" spans="1:12" s="59" customFormat="1" ht="15.6">
      <c r="A54" s="99" t="s">
        <v>286</v>
      </c>
      <c r="B54" s="123"/>
      <c r="C54" s="123"/>
      <c r="D54" s="123"/>
    </row>
    <row r="55" spans="1:12" s="59" customFormat="1" ht="15.6">
      <c r="A55" s="99" t="s">
        <v>287</v>
      </c>
      <c r="B55" s="123"/>
      <c r="C55" s="123"/>
      <c r="D55" s="123"/>
    </row>
    <row r="56" spans="1:12" ht="15.6">
      <c r="A56" s="99" t="s">
        <v>34</v>
      </c>
      <c r="B56" s="100"/>
      <c r="C56" s="89"/>
      <c r="D56" s="89"/>
      <c r="I56" s="59"/>
      <c r="J56" s="59"/>
      <c r="K56" s="58"/>
      <c r="L56" s="58"/>
    </row>
    <row r="57" spans="1:12" ht="15.6">
      <c r="A57" s="109"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79041-AF75-4CB1-B363-6DC17B970C24}">
  <sheetPr>
    <tabColor rgb="FFFF0000"/>
  </sheetPr>
  <dimension ref="A1:N25"/>
  <sheetViews>
    <sheetView workbookViewId="0">
      <selection activeCell="E14" sqref="E14"/>
    </sheetView>
  </sheetViews>
  <sheetFormatPr defaultColWidth="8.77734375" defaultRowHeight="14.4"/>
  <cols>
    <col min="1" max="1" width="51.5546875" style="40" customWidth="1"/>
    <col min="2" max="16384" width="8.77734375" style="40"/>
  </cols>
  <sheetData>
    <row r="1" spans="1:14" ht="17.399999999999999">
      <c r="A1" s="27" t="s">
        <v>48</v>
      </c>
      <c r="B1" s="28"/>
      <c r="C1" s="28"/>
      <c r="D1" s="28"/>
      <c r="E1" s="28"/>
      <c r="F1" s="28"/>
      <c r="G1" s="28"/>
      <c r="H1" s="28"/>
      <c r="I1" s="28"/>
      <c r="J1" s="28"/>
      <c r="K1" s="28"/>
      <c r="L1" s="28"/>
      <c r="M1" s="28"/>
      <c r="N1" s="28"/>
    </row>
    <row r="2" spans="1:14" ht="15.6">
      <c r="A2" s="29" t="s">
        <v>49</v>
      </c>
      <c r="B2" s="28"/>
      <c r="C2" s="28"/>
      <c r="D2" s="28"/>
      <c r="E2" s="28"/>
      <c r="F2" s="28"/>
      <c r="G2" s="28"/>
      <c r="H2" s="28"/>
      <c r="I2" s="28"/>
      <c r="J2" s="28"/>
      <c r="K2" s="28"/>
      <c r="L2" s="28"/>
      <c r="M2" s="28"/>
      <c r="N2" s="28"/>
    </row>
    <row r="3" spans="1:14" ht="15.6">
      <c r="A3" s="29" t="s">
        <v>50</v>
      </c>
      <c r="B3" s="30"/>
      <c r="C3" s="30"/>
      <c r="D3" s="30"/>
      <c r="E3" s="30"/>
      <c r="F3" s="30"/>
      <c r="G3" s="30"/>
      <c r="H3" s="30"/>
      <c r="I3" s="30"/>
      <c r="J3" s="30"/>
      <c r="K3" s="28"/>
      <c r="L3" s="28"/>
      <c r="M3" s="28"/>
      <c r="N3" s="28"/>
    </row>
    <row r="4" spans="1:14">
      <c r="A4" s="28"/>
      <c r="B4" s="28"/>
      <c r="C4" s="28"/>
      <c r="D4" s="28"/>
      <c r="E4" s="28"/>
      <c r="F4" s="28"/>
      <c r="G4" s="28"/>
      <c r="H4" s="28"/>
      <c r="I4" s="28"/>
      <c r="J4" s="28"/>
      <c r="K4" s="28"/>
      <c r="L4" s="28"/>
      <c r="M4" s="28"/>
      <c r="N4" s="28"/>
    </row>
    <row r="5" spans="1:14" ht="15.6">
      <c r="A5" s="38" t="s">
        <v>51</v>
      </c>
      <c r="B5" s="28"/>
      <c r="C5" s="28"/>
      <c r="D5" s="28"/>
      <c r="E5" s="28"/>
      <c r="F5" s="28"/>
      <c r="G5" s="28"/>
      <c r="H5" s="28"/>
      <c r="I5" s="28"/>
      <c r="J5" s="28"/>
      <c r="K5" s="28"/>
      <c r="L5" s="28"/>
      <c r="M5" s="28"/>
      <c r="N5" s="28"/>
    </row>
    <row r="6" spans="1:14" ht="16.2" thickBot="1">
      <c r="A6" s="31"/>
      <c r="B6" s="28"/>
      <c r="C6" s="28"/>
      <c r="D6" s="28"/>
      <c r="E6" s="28"/>
      <c r="F6" s="28"/>
      <c r="G6" s="28"/>
      <c r="H6" s="28"/>
      <c r="I6" s="28"/>
      <c r="J6" s="28"/>
      <c r="K6" s="28"/>
      <c r="L6" s="28"/>
      <c r="M6" s="28"/>
      <c r="N6" s="28"/>
    </row>
    <row r="7" spans="1:14" ht="16.2" thickBot="1">
      <c r="A7" s="165"/>
      <c r="B7" s="166" t="s">
        <v>3</v>
      </c>
      <c r="C7" s="166" t="s">
        <v>44</v>
      </c>
      <c r="D7" s="166" t="s">
        <v>45</v>
      </c>
      <c r="E7" s="166" t="s">
        <v>52</v>
      </c>
      <c r="F7" s="167" t="s">
        <v>53</v>
      </c>
      <c r="G7" s="28"/>
      <c r="H7" s="28"/>
      <c r="I7" s="28"/>
      <c r="J7" s="28"/>
      <c r="K7" s="28"/>
      <c r="L7" s="28"/>
      <c r="M7" s="28"/>
      <c r="N7" s="28"/>
    </row>
    <row r="8" spans="1:14" ht="15.6">
      <c r="A8" s="168" t="s">
        <v>54</v>
      </c>
      <c r="B8" s="753">
        <v>6</v>
      </c>
      <c r="C8" s="753">
        <v>3</v>
      </c>
      <c r="D8" s="753">
        <v>8</v>
      </c>
      <c r="E8" s="753">
        <v>10</v>
      </c>
      <c r="F8" s="751">
        <v>15</v>
      </c>
      <c r="G8" s="28"/>
      <c r="H8" s="28"/>
      <c r="I8" s="28"/>
      <c r="J8" s="28"/>
      <c r="K8" s="28"/>
      <c r="L8" s="28"/>
      <c r="M8" s="28"/>
      <c r="N8" s="28"/>
    </row>
    <row r="9" spans="1:14" ht="16.2" thickBot="1">
      <c r="A9" s="169" t="s">
        <v>55</v>
      </c>
      <c r="B9" s="754"/>
      <c r="C9" s="754"/>
      <c r="D9" s="754"/>
      <c r="E9" s="754"/>
      <c r="F9" s="752"/>
      <c r="G9" s="28"/>
      <c r="H9" s="28"/>
      <c r="I9" s="28"/>
      <c r="J9" s="28"/>
      <c r="K9" s="28"/>
      <c r="L9" s="28"/>
      <c r="M9" s="28"/>
      <c r="N9" s="28"/>
    </row>
    <row r="10" spans="1:14" ht="16.2" thickBot="1">
      <c r="A10" s="169" t="s">
        <v>56</v>
      </c>
      <c r="B10" s="170">
        <v>15</v>
      </c>
      <c r="C10" s="170">
        <v>20</v>
      </c>
      <c r="D10" s="170">
        <v>22</v>
      </c>
      <c r="E10" s="170">
        <v>25</v>
      </c>
      <c r="F10" s="171">
        <v>33</v>
      </c>
      <c r="G10" s="28"/>
      <c r="H10" s="28"/>
      <c r="I10" s="28"/>
      <c r="J10" s="28"/>
      <c r="K10" s="28"/>
      <c r="L10" s="28"/>
      <c r="M10" s="28"/>
      <c r="N10" s="28"/>
    </row>
    <row r="11" spans="1:14" ht="16.2" thickBot="1">
      <c r="A11" s="31"/>
      <c r="B11" s="28"/>
      <c r="C11" s="28"/>
      <c r="D11" s="28"/>
      <c r="E11" s="28"/>
      <c r="F11" s="28"/>
      <c r="G11" s="28"/>
      <c r="H11" s="28"/>
      <c r="I11" s="28"/>
      <c r="J11" s="28"/>
      <c r="K11" s="28"/>
      <c r="L11" s="28"/>
      <c r="M11" s="28"/>
      <c r="N11" s="28"/>
    </row>
    <row r="12" spans="1:14" ht="16.2" thickBot="1">
      <c r="A12" s="172" t="s">
        <v>57</v>
      </c>
      <c r="B12" s="173" t="s">
        <v>58</v>
      </c>
      <c r="C12" s="28"/>
      <c r="D12" s="28"/>
      <c r="E12" s="28"/>
      <c r="F12" s="28"/>
      <c r="G12" s="28"/>
      <c r="H12" s="28"/>
      <c r="I12" s="28"/>
      <c r="J12" s="28"/>
      <c r="K12" s="28"/>
      <c r="L12" s="28"/>
      <c r="M12" s="28"/>
      <c r="N12" s="28"/>
    </row>
    <row r="13" spans="1:14" ht="16.2" thickBot="1">
      <c r="A13" s="169" t="s">
        <v>59</v>
      </c>
      <c r="B13" s="174">
        <v>0.1</v>
      </c>
      <c r="C13" s="28"/>
      <c r="D13" s="28"/>
      <c r="E13" s="28"/>
      <c r="F13" s="28"/>
      <c r="G13" s="28"/>
      <c r="H13" s="28"/>
      <c r="I13" s="28"/>
      <c r="J13" s="28"/>
      <c r="K13" s="28"/>
      <c r="L13" s="28"/>
      <c r="M13" s="28"/>
      <c r="N13" s="28"/>
    </row>
    <row r="14" spans="1:14" ht="16.2" thickBot="1">
      <c r="A14" s="169" t="s">
        <v>60</v>
      </c>
      <c r="B14" s="174">
        <v>0.05</v>
      </c>
      <c r="C14" s="28"/>
      <c r="D14" s="28"/>
      <c r="E14" s="28"/>
      <c r="F14" s="28"/>
      <c r="G14" s="28"/>
      <c r="H14" s="28"/>
      <c r="I14" s="28"/>
      <c r="J14" s="28"/>
      <c r="K14" s="28"/>
      <c r="L14" s="28"/>
      <c r="M14" s="28"/>
      <c r="N14" s="28"/>
    </row>
    <row r="15" spans="1:14" ht="16.2" thickBot="1">
      <c r="A15" s="169" t="s">
        <v>61</v>
      </c>
      <c r="B15" s="174">
        <v>0.21</v>
      </c>
      <c r="C15" s="28"/>
      <c r="D15" s="28"/>
      <c r="E15" s="28"/>
      <c r="F15" s="28"/>
      <c r="G15" s="28"/>
      <c r="H15" s="28"/>
      <c r="I15" s="28"/>
      <c r="J15" s="28"/>
      <c r="K15" s="28"/>
      <c r="L15" s="28"/>
      <c r="M15" s="28"/>
      <c r="N15" s="28"/>
    </row>
    <row r="16" spans="1:14" ht="16.2" thickBot="1">
      <c r="A16" s="169" t="s">
        <v>62</v>
      </c>
      <c r="B16" s="170"/>
      <c r="C16" s="28"/>
      <c r="D16" s="28"/>
      <c r="E16" s="28"/>
      <c r="F16" s="28"/>
      <c r="G16" s="28"/>
      <c r="H16" s="28"/>
      <c r="I16" s="28"/>
      <c r="J16" s="28"/>
      <c r="K16" s="28"/>
      <c r="L16" s="28"/>
      <c r="M16" s="28"/>
      <c r="N16" s="28"/>
    </row>
    <row r="17" spans="1:14" ht="15.6">
      <c r="A17" s="168" t="s">
        <v>63</v>
      </c>
      <c r="B17" s="753">
        <v>155</v>
      </c>
      <c r="C17" s="28"/>
      <c r="D17" s="28"/>
      <c r="E17" s="28"/>
      <c r="F17" s="28"/>
      <c r="G17" s="28"/>
      <c r="H17" s="28"/>
      <c r="I17" s="28"/>
      <c r="J17" s="28"/>
      <c r="K17" s="28"/>
      <c r="L17" s="28"/>
      <c r="M17" s="28"/>
      <c r="N17" s="28"/>
    </row>
    <row r="18" spans="1:14" ht="16.2" thickBot="1">
      <c r="A18" s="169" t="s">
        <v>64</v>
      </c>
      <c r="B18" s="754"/>
      <c r="C18" s="28"/>
      <c r="D18" s="28"/>
      <c r="E18" s="28"/>
      <c r="F18" s="28"/>
      <c r="G18" s="28"/>
      <c r="H18" s="28"/>
      <c r="I18" s="28"/>
      <c r="J18" s="28"/>
      <c r="K18" s="28"/>
      <c r="L18" s="28"/>
      <c r="M18" s="28"/>
      <c r="N18" s="28"/>
    </row>
    <row r="19" spans="1:14" ht="15.6">
      <c r="A19" s="168" t="s">
        <v>65</v>
      </c>
      <c r="B19" s="753">
        <v>28</v>
      </c>
      <c r="C19" s="28"/>
      <c r="D19" s="28"/>
      <c r="E19" s="28"/>
      <c r="F19" s="28"/>
      <c r="G19" s="28"/>
      <c r="H19" s="28"/>
      <c r="I19" s="28"/>
      <c r="J19" s="28"/>
      <c r="K19" s="28"/>
      <c r="L19" s="28"/>
      <c r="M19" s="28"/>
      <c r="N19" s="28"/>
    </row>
    <row r="20" spans="1:14" ht="16.2" thickBot="1">
      <c r="A20" s="169" t="s">
        <v>66</v>
      </c>
      <c r="B20" s="754"/>
      <c r="C20" s="28"/>
      <c r="D20" s="28"/>
      <c r="E20" s="28"/>
      <c r="F20" s="28"/>
      <c r="G20" s="28"/>
      <c r="H20" s="28"/>
      <c r="I20" s="28"/>
      <c r="J20" s="28"/>
      <c r="K20" s="28"/>
      <c r="L20" s="28"/>
      <c r="M20" s="28"/>
      <c r="N20" s="28"/>
    </row>
    <row r="21" spans="1:14" ht="15.6">
      <c r="A21" s="175"/>
      <c r="B21" s="28"/>
      <c r="C21" s="28"/>
      <c r="D21" s="28"/>
      <c r="E21" s="28"/>
      <c r="F21" s="28"/>
      <c r="G21" s="28"/>
      <c r="H21" s="28"/>
      <c r="I21" s="28"/>
      <c r="J21" s="28"/>
      <c r="K21" s="28"/>
      <c r="L21" s="28"/>
      <c r="M21" s="28"/>
      <c r="N21" s="28"/>
    </row>
    <row r="22" spans="1:14" ht="15.6">
      <c r="A22" s="38" t="s">
        <v>67</v>
      </c>
      <c r="B22" s="28"/>
      <c r="C22" s="28"/>
      <c r="D22" s="28"/>
      <c r="E22" s="28"/>
      <c r="F22" s="28"/>
      <c r="G22" s="28"/>
      <c r="H22" s="28"/>
      <c r="I22" s="28"/>
      <c r="J22" s="28"/>
      <c r="K22" s="28"/>
      <c r="L22" s="28"/>
      <c r="M22" s="28"/>
      <c r="N22" s="28"/>
    </row>
    <row r="23" spans="1:14" ht="15.6">
      <c r="A23" s="176" t="s">
        <v>22</v>
      </c>
    </row>
    <row r="24" spans="1:14">
      <c r="A24" s="177"/>
    </row>
    <row r="25" spans="1:14">
      <c r="A25" s="177"/>
    </row>
  </sheetData>
  <mergeCells count="7">
    <mergeCell ref="F8:F9"/>
    <mergeCell ref="B17:B18"/>
    <mergeCell ref="B19:B20"/>
    <mergeCell ref="B8:B9"/>
    <mergeCell ref="C8:C9"/>
    <mergeCell ref="D8:D9"/>
    <mergeCell ref="E8:E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9716-95EA-406F-986F-79C1F025FA2D}">
  <sheetPr>
    <tabColor rgb="FFFF0000"/>
  </sheetPr>
  <dimension ref="A1:V72"/>
  <sheetViews>
    <sheetView workbookViewId="0">
      <selection activeCell="I17" sqref="I17"/>
    </sheetView>
  </sheetViews>
  <sheetFormatPr defaultColWidth="8.77734375" defaultRowHeight="14.4"/>
  <cols>
    <col min="1" max="1" width="25.6640625" style="40" customWidth="1"/>
    <col min="2" max="16384" width="8.77734375" style="40"/>
  </cols>
  <sheetData>
    <row r="1" spans="1:22" ht="17.399999999999999">
      <c r="A1" s="27" t="s">
        <v>69</v>
      </c>
      <c r="B1" s="28"/>
      <c r="C1" s="28"/>
      <c r="D1" s="28"/>
      <c r="E1" s="28"/>
      <c r="F1" s="28"/>
      <c r="G1" s="28"/>
      <c r="H1" s="28"/>
      <c r="I1" s="28"/>
      <c r="J1" s="28"/>
      <c r="K1" s="28"/>
      <c r="L1" s="28"/>
      <c r="M1" s="28"/>
      <c r="N1" s="28"/>
      <c r="O1" s="28"/>
      <c r="P1" s="28"/>
      <c r="Q1" s="28"/>
      <c r="R1" s="28"/>
      <c r="S1" s="28"/>
      <c r="T1" s="28"/>
      <c r="U1" s="28"/>
      <c r="V1" s="28"/>
    </row>
    <row r="2" spans="1:22" ht="15.6">
      <c r="A2" s="29" t="s">
        <v>133</v>
      </c>
      <c r="B2" s="28"/>
      <c r="C2" s="28"/>
      <c r="D2" s="28"/>
      <c r="E2" s="28"/>
      <c r="F2" s="28"/>
      <c r="G2" s="28"/>
      <c r="H2" s="28"/>
      <c r="I2" s="28"/>
      <c r="J2" s="28"/>
      <c r="K2" s="28"/>
      <c r="L2" s="28"/>
      <c r="M2" s="28"/>
      <c r="N2" s="28"/>
      <c r="O2" s="28"/>
      <c r="P2" s="28"/>
      <c r="Q2" s="28"/>
      <c r="R2" s="28"/>
      <c r="S2" s="28"/>
      <c r="T2" s="28"/>
      <c r="U2" s="28"/>
      <c r="V2" s="28"/>
    </row>
    <row r="3" spans="1:22" ht="15.6">
      <c r="A3" s="29" t="s">
        <v>130</v>
      </c>
      <c r="B3" s="30"/>
      <c r="C3" s="30"/>
      <c r="D3" s="30"/>
      <c r="E3" s="30"/>
      <c r="F3" s="30"/>
      <c r="G3" s="30"/>
      <c r="H3" s="30"/>
      <c r="I3" s="30"/>
      <c r="J3" s="30"/>
      <c r="K3" s="28"/>
      <c r="L3" s="28"/>
      <c r="M3" s="28"/>
      <c r="N3" s="28"/>
      <c r="O3" s="28"/>
      <c r="P3" s="28"/>
      <c r="Q3" s="28"/>
      <c r="R3" s="28"/>
      <c r="S3" s="28"/>
      <c r="T3" s="28"/>
      <c r="U3" s="28"/>
      <c r="V3" s="28"/>
    </row>
    <row r="4" spans="1:22">
      <c r="A4" s="28"/>
      <c r="B4" s="28"/>
      <c r="C4" s="28"/>
      <c r="D4" s="28"/>
      <c r="E4" s="28"/>
      <c r="F4" s="28"/>
      <c r="G4" s="28"/>
      <c r="H4" s="28"/>
      <c r="I4" s="28"/>
      <c r="J4" s="28"/>
      <c r="K4" s="28"/>
      <c r="L4" s="28"/>
      <c r="M4" s="28"/>
      <c r="N4" s="28"/>
      <c r="O4" s="28"/>
      <c r="P4" s="28"/>
      <c r="Q4" s="28"/>
      <c r="R4" s="28"/>
      <c r="S4" s="28"/>
      <c r="T4" s="28"/>
      <c r="U4" s="28"/>
      <c r="V4" s="28"/>
    </row>
    <row r="5" spans="1:22" ht="15.6">
      <c r="A5" s="38" t="s">
        <v>288</v>
      </c>
      <c r="B5" s="28"/>
      <c r="C5" s="28"/>
      <c r="D5" s="28"/>
      <c r="E5" s="28"/>
      <c r="F5" s="28"/>
      <c r="G5" s="28"/>
      <c r="H5" s="28"/>
      <c r="I5" s="28"/>
      <c r="J5" s="28"/>
      <c r="K5" s="28"/>
      <c r="L5" s="28"/>
      <c r="M5" s="28"/>
      <c r="N5" s="28"/>
      <c r="O5" s="28"/>
      <c r="P5" s="28"/>
      <c r="Q5" s="28"/>
      <c r="R5" s="28"/>
      <c r="S5" s="28"/>
      <c r="T5" s="28"/>
      <c r="U5" s="28"/>
      <c r="V5" s="28"/>
    </row>
    <row r="6" spans="1:22">
      <c r="A6" s="28"/>
      <c r="B6" s="28"/>
      <c r="C6" s="28"/>
      <c r="D6" s="28"/>
      <c r="E6" s="28"/>
      <c r="F6" s="28"/>
      <c r="G6" s="28"/>
      <c r="H6" s="28"/>
      <c r="I6" s="28"/>
      <c r="J6" s="28"/>
      <c r="K6" s="28"/>
      <c r="L6" s="28"/>
      <c r="M6" s="28"/>
      <c r="N6" s="28"/>
      <c r="O6" s="28"/>
      <c r="P6" s="28"/>
      <c r="Q6" s="28"/>
      <c r="R6" s="28"/>
      <c r="S6" s="28"/>
      <c r="T6" s="28"/>
      <c r="U6" s="28"/>
      <c r="V6" s="28"/>
    </row>
    <row r="7" spans="1:22" ht="15.6">
      <c r="A7" s="38" t="s">
        <v>289</v>
      </c>
      <c r="B7" s="28"/>
      <c r="C7" s="28"/>
      <c r="D7" s="28"/>
      <c r="E7" s="28"/>
      <c r="F7" s="28"/>
      <c r="G7" s="28"/>
      <c r="H7" s="28"/>
      <c r="I7" s="28"/>
      <c r="J7" s="28"/>
      <c r="K7" s="28"/>
      <c r="L7" s="28"/>
      <c r="M7" s="28"/>
      <c r="N7" s="28"/>
      <c r="O7" s="28"/>
      <c r="P7" s="28"/>
      <c r="Q7" s="28"/>
      <c r="R7" s="28"/>
      <c r="S7" s="28"/>
      <c r="T7" s="28"/>
      <c r="U7" s="28"/>
      <c r="V7" s="28"/>
    </row>
    <row r="8" spans="1:22" ht="16.2" thickBot="1">
      <c r="A8" s="175"/>
      <c r="B8" s="28"/>
      <c r="C8" s="28"/>
      <c r="D8" s="28"/>
      <c r="E8" s="28"/>
      <c r="F8" s="28"/>
      <c r="G8" s="28"/>
      <c r="H8" s="28"/>
      <c r="I8" s="28"/>
      <c r="J8" s="28"/>
      <c r="K8" s="28"/>
      <c r="L8" s="28"/>
      <c r="M8" s="28"/>
      <c r="N8" s="28"/>
      <c r="O8" s="28"/>
      <c r="P8" s="28"/>
      <c r="Q8" s="28"/>
      <c r="R8" s="28"/>
      <c r="S8" s="28"/>
      <c r="T8" s="28"/>
      <c r="U8" s="28"/>
      <c r="V8" s="28"/>
    </row>
    <row r="9" spans="1:22" ht="16.2" thickBot="1">
      <c r="A9" s="32" t="s">
        <v>290</v>
      </c>
      <c r="B9" s="178">
        <v>0.85</v>
      </c>
      <c r="C9" s="28"/>
      <c r="D9" s="28"/>
      <c r="E9" s="28"/>
      <c r="F9" s="28"/>
      <c r="G9" s="28"/>
      <c r="H9" s="28"/>
      <c r="I9" s="28"/>
      <c r="J9" s="28"/>
      <c r="K9" s="28"/>
      <c r="L9" s="28"/>
      <c r="M9" s="28"/>
      <c r="N9" s="28"/>
      <c r="O9" s="28"/>
      <c r="P9" s="28"/>
      <c r="Q9" s="28"/>
      <c r="R9" s="28"/>
      <c r="S9" s="28"/>
      <c r="T9" s="28"/>
      <c r="U9" s="28"/>
      <c r="V9" s="28"/>
    </row>
    <row r="10" spans="1:22" ht="16.2" thickBot="1">
      <c r="A10" s="34" t="s">
        <v>291</v>
      </c>
      <c r="B10" s="179">
        <v>0.05</v>
      </c>
      <c r="C10" s="28"/>
      <c r="D10" s="28"/>
      <c r="E10" s="28"/>
      <c r="F10" s="28"/>
      <c r="G10" s="28"/>
      <c r="H10" s="28"/>
      <c r="I10" s="28"/>
      <c r="J10" s="28"/>
      <c r="K10" s="28"/>
      <c r="L10" s="28"/>
      <c r="M10" s="28"/>
      <c r="N10" s="28"/>
      <c r="O10" s="28"/>
      <c r="P10" s="28"/>
      <c r="Q10" s="28"/>
      <c r="R10" s="28"/>
      <c r="S10" s="28"/>
      <c r="T10" s="28"/>
      <c r="U10" s="28"/>
      <c r="V10" s="28"/>
    </row>
    <row r="11" spans="1:22" ht="16.2" thickBot="1">
      <c r="A11" s="34" t="s">
        <v>292</v>
      </c>
      <c r="B11" s="179">
        <v>0.8</v>
      </c>
      <c r="C11" s="28"/>
      <c r="D11" s="28"/>
      <c r="E11" s="28"/>
      <c r="F11" s="28"/>
      <c r="G11" s="28"/>
      <c r="H11" s="28"/>
      <c r="I11" s="28"/>
      <c r="J11" s="28"/>
      <c r="K11" s="28"/>
      <c r="L11" s="28"/>
      <c r="M11" s="28"/>
      <c r="N11" s="28"/>
      <c r="O11" s="28"/>
      <c r="P11" s="28"/>
      <c r="Q11" s="28"/>
      <c r="R11" s="28"/>
      <c r="S11" s="28"/>
      <c r="T11" s="28"/>
      <c r="U11" s="28"/>
      <c r="V11" s="28"/>
    </row>
    <row r="12" spans="1:22" ht="18.600000000000001" thickBot="1">
      <c r="A12" s="34" t="s">
        <v>293</v>
      </c>
      <c r="B12" s="180" t="s">
        <v>294</v>
      </c>
      <c r="C12" s="28"/>
      <c r="D12" s="28"/>
      <c r="E12" s="28"/>
      <c r="F12" s="28"/>
      <c r="G12" s="28"/>
      <c r="H12" s="28"/>
      <c r="I12" s="28"/>
      <c r="J12" s="28"/>
      <c r="K12" s="28"/>
      <c r="L12" s="28"/>
      <c r="M12" s="28"/>
      <c r="N12" s="28"/>
      <c r="O12" s="28"/>
      <c r="P12" s="28"/>
      <c r="Q12" s="28"/>
      <c r="R12" s="28"/>
      <c r="S12" s="28"/>
      <c r="T12" s="28"/>
      <c r="U12" s="28"/>
      <c r="V12" s="28"/>
    </row>
    <row r="13" spans="1:22" ht="31.8" thickBot="1">
      <c r="A13" s="34" t="s">
        <v>295</v>
      </c>
      <c r="B13" s="180">
        <v>0.4</v>
      </c>
      <c r="C13" s="28"/>
      <c r="D13" s="28"/>
      <c r="E13" s="28"/>
      <c r="F13" s="28"/>
      <c r="G13" s="28"/>
      <c r="H13" s="28"/>
      <c r="I13" s="28"/>
      <c r="J13" s="28"/>
      <c r="K13" s="28"/>
      <c r="L13" s="28"/>
      <c r="M13" s="28"/>
      <c r="N13" s="28"/>
      <c r="O13" s="28"/>
      <c r="P13" s="28"/>
      <c r="Q13" s="28"/>
      <c r="R13" s="28"/>
      <c r="S13" s="28"/>
      <c r="T13" s="28"/>
      <c r="U13" s="28"/>
      <c r="V13" s="28"/>
    </row>
    <row r="14" spans="1:22" ht="16.2" thickBot="1">
      <c r="A14" s="34" t="s">
        <v>296</v>
      </c>
      <c r="B14" s="180">
        <v>1</v>
      </c>
      <c r="C14" s="28"/>
      <c r="D14" s="28"/>
      <c r="E14" s="28"/>
      <c r="F14" s="28"/>
      <c r="G14" s="28"/>
      <c r="H14" s="28"/>
      <c r="I14" s="28"/>
      <c r="J14" s="28"/>
      <c r="K14" s="28"/>
      <c r="L14" s="28"/>
      <c r="M14" s="28"/>
      <c r="N14" s="28"/>
      <c r="O14" s="28"/>
      <c r="P14" s="28"/>
      <c r="Q14" s="28"/>
      <c r="R14" s="28"/>
      <c r="S14" s="28"/>
      <c r="T14" s="28"/>
      <c r="U14" s="28"/>
      <c r="V14" s="28"/>
    </row>
    <row r="15" spans="1:22">
      <c r="A15" s="28"/>
      <c r="B15" s="28"/>
      <c r="C15" s="28"/>
      <c r="D15" s="28"/>
      <c r="E15" s="28"/>
      <c r="F15" s="28"/>
      <c r="G15" s="28"/>
      <c r="H15" s="28"/>
      <c r="I15" s="28"/>
      <c r="J15" s="28"/>
      <c r="K15" s="28"/>
      <c r="L15" s="28"/>
      <c r="M15" s="28"/>
      <c r="N15" s="28"/>
      <c r="O15" s="28"/>
      <c r="P15" s="28"/>
      <c r="Q15" s="28"/>
      <c r="R15" s="28"/>
      <c r="S15" s="28"/>
      <c r="T15" s="28"/>
      <c r="U15" s="28"/>
      <c r="V15" s="28"/>
    </row>
    <row r="16" spans="1:22">
      <c r="A16" s="28"/>
      <c r="B16" s="28"/>
      <c r="C16" s="28"/>
      <c r="D16" s="28"/>
      <c r="E16" s="28"/>
      <c r="F16" s="28"/>
      <c r="G16" s="28"/>
      <c r="H16" s="28"/>
      <c r="I16" s="28"/>
      <c r="J16" s="28"/>
      <c r="K16" s="28"/>
      <c r="L16" s="28"/>
      <c r="M16" s="28"/>
      <c r="N16" s="28"/>
      <c r="O16" s="28"/>
      <c r="P16" s="28"/>
      <c r="Q16" s="28"/>
      <c r="R16" s="28"/>
      <c r="S16" s="28"/>
      <c r="T16" s="28"/>
      <c r="U16" s="28"/>
      <c r="V16" s="28"/>
    </row>
    <row r="17" spans="1:22">
      <c r="A17" s="181" t="s">
        <v>297</v>
      </c>
      <c r="B17" s="181"/>
      <c r="C17" s="28"/>
      <c r="D17" s="28"/>
      <c r="E17" s="28"/>
      <c r="F17" s="28"/>
      <c r="G17" s="28"/>
      <c r="H17" s="28"/>
      <c r="I17" s="28"/>
      <c r="J17" s="28"/>
      <c r="K17" s="28"/>
      <c r="L17" s="28"/>
      <c r="M17" s="28"/>
      <c r="N17" s="28"/>
      <c r="O17" s="28"/>
      <c r="P17" s="28"/>
      <c r="Q17" s="28"/>
      <c r="R17" s="28"/>
      <c r="S17" s="28"/>
      <c r="T17" s="28"/>
      <c r="U17" s="28"/>
      <c r="V17" s="28"/>
    </row>
    <row r="18" spans="1:22">
      <c r="A18" s="28"/>
      <c r="B18" s="28"/>
      <c r="C18" s="28"/>
      <c r="D18" s="28"/>
      <c r="E18" s="28"/>
      <c r="F18" s="28"/>
      <c r="G18" s="28"/>
      <c r="H18" s="28"/>
      <c r="I18" s="28"/>
      <c r="J18" s="28"/>
      <c r="K18" s="28"/>
      <c r="L18" s="28"/>
      <c r="M18" s="28"/>
      <c r="N18" s="28"/>
      <c r="O18" s="28"/>
      <c r="P18" s="28"/>
      <c r="Q18" s="28"/>
      <c r="R18" s="28"/>
      <c r="S18" s="28"/>
      <c r="T18" s="28"/>
      <c r="U18" s="28"/>
      <c r="V18" s="28"/>
    </row>
    <row r="19" spans="1:22" ht="15" thickBot="1">
      <c r="A19" s="181" t="s">
        <v>298</v>
      </c>
      <c r="B19" s="182">
        <v>45</v>
      </c>
      <c r="C19" s="182">
        <f t="shared" ref="C19:V19" si="0">1+B19</f>
        <v>46</v>
      </c>
      <c r="D19" s="182">
        <f t="shared" si="0"/>
        <v>47</v>
      </c>
      <c r="E19" s="182">
        <f t="shared" si="0"/>
        <v>48</v>
      </c>
      <c r="F19" s="182">
        <f t="shared" si="0"/>
        <v>49</v>
      </c>
      <c r="G19" s="182">
        <f t="shared" si="0"/>
        <v>50</v>
      </c>
      <c r="H19" s="182">
        <f t="shared" si="0"/>
        <v>51</v>
      </c>
      <c r="I19" s="182">
        <f t="shared" si="0"/>
        <v>52</v>
      </c>
      <c r="J19" s="182">
        <f t="shared" si="0"/>
        <v>53</v>
      </c>
      <c r="K19" s="182">
        <f t="shared" si="0"/>
        <v>54</v>
      </c>
      <c r="L19" s="182">
        <f t="shared" si="0"/>
        <v>55</v>
      </c>
      <c r="M19" s="182">
        <f t="shared" si="0"/>
        <v>56</v>
      </c>
      <c r="N19" s="182">
        <f t="shared" si="0"/>
        <v>57</v>
      </c>
      <c r="O19" s="182">
        <f t="shared" si="0"/>
        <v>58</v>
      </c>
      <c r="P19" s="182">
        <f t="shared" si="0"/>
        <v>59</v>
      </c>
      <c r="Q19" s="182">
        <f t="shared" si="0"/>
        <v>60</v>
      </c>
      <c r="R19" s="182">
        <f t="shared" si="0"/>
        <v>61</v>
      </c>
      <c r="S19" s="182">
        <f t="shared" si="0"/>
        <v>62</v>
      </c>
      <c r="T19" s="182">
        <f t="shared" si="0"/>
        <v>63</v>
      </c>
      <c r="U19" s="182">
        <f t="shared" si="0"/>
        <v>64</v>
      </c>
      <c r="V19" s="182">
        <f t="shared" si="0"/>
        <v>65</v>
      </c>
    </row>
    <row r="20" spans="1:22" ht="15" thickTop="1">
      <c r="A20" s="181" t="s">
        <v>299</v>
      </c>
      <c r="B20" s="181"/>
      <c r="C20" s="181"/>
      <c r="D20" s="181"/>
      <c r="E20" s="181"/>
      <c r="F20" s="181"/>
      <c r="G20" s="181"/>
      <c r="H20" s="181"/>
      <c r="I20" s="181"/>
      <c r="J20" s="181"/>
      <c r="K20" s="181"/>
      <c r="L20" s="181"/>
      <c r="M20" s="181"/>
      <c r="N20" s="181"/>
      <c r="O20" s="181"/>
      <c r="P20" s="181"/>
      <c r="Q20" s="181"/>
      <c r="R20" s="181"/>
      <c r="S20" s="181"/>
      <c r="T20" s="181"/>
      <c r="U20" s="181"/>
      <c r="V20" s="181"/>
    </row>
    <row r="21" spans="1:22">
      <c r="A21" s="183">
        <v>1</v>
      </c>
      <c r="B21" s="28">
        <v>0.45</v>
      </c>
      <c r="C21" s="28">
        <v>0.48</v>
      </c>
      <c r="D21" s="28">
        <v>0.51</v>
      </c>
      <c r="E21" s="28">
        <v>0.54</v>
      </c>
      <c r="F21" s="28">
        <v>0.56999999999999995</v>
      </c>
      <c r="G21" s="28">
        <v>0.6</v>
      </c>
      <c r="H21" s="28">
        <v>0.64</v>
      </c>
      <c r="I21" s="28">
        <v>0.68</v>
      </c>
      <c r="J21" s="28">
        <v>0.73</v>
      </c>
      <c r="K21" s="28">
        <v>0.79</v>
      </c>
      <c r="L21" s="28">
        <v>0.87</v>
      </c>
      <c r="M21" s="28">
        <v>0.95</v>
      </c>
      <c r="N21" s="28">
        <v>1.06</v>
      </c>
      <c r="O21" s="28">
        <v>1.19</v>
      </c>
      <c r="P21" s="28">
        <v>1.34</v>
      </c>
      <c r="Q21" s="28">
        <v>1.52</v>
      </c>
      <c r="R21" s="28">
        <v>1.72</v>
      </c>
      <c r="S21" s="28">
        <v>1.96</v>
      </c>
      <c r="T21" s="28">
        <v>2.2200000000000002</v>
      </c>
      <c r="U21" s="28">
        <v>2.5099999999999998</v>
      </c>
      <c r="V21" s="28">
        <v>2.83</v>
      </c>
    </row>
    <row r="22" spans="1:22">
      <c r="A22" s="183">
        <f>1+A21</f>
        <v>2</v>
      </c>
      <c r="B22" s="28">
        <v>0.63</v>
      </c>
      <c r="C22" s="28">
        <v>0.67</v>
      </c>
      <c r="D22" s="28">
        <v>0.71</v>
      </c>
      <c r="E22" s="28">
        <v>0.75</v>
      </c>
      <c r="F22" s="28">
        <v>0.8</v>
      </c>
      <c r="G22" s="28">
        <v>0.85</v>
      </c>
      <c r="H22" s="28">
        <v>0.91</v>
      </c>
      <c r="I22" s="28">
        <v>0.98</v>
      </c>
      <c r="J22" s="28">
        <v>1.07</v>
      </c>
      <c r="K22" s="28">
        <v>1.17</v>
      </c>
      <c r="L22" s="28">
        <v>1.29</v>
      </c>
      <c r="M22" s="28">
        <v>1.44</v>
      </c>
      <c r="N22" s="28">
        <v>1.62</v>
      </c>
      <c r="O22" s="28">
        <v>1.83</v>
      </c>
      <c r="P22" s="28">
        <v>2.09</v>
      </c>
      <c r="Q22" s="28">
        <v>2.39</v>
      </c>
      <c r="R22" s="28">
        <v>2.72</v>
      </c>
      <c r="S22" s="28">
        <v>3.1</v>
      </c>
      <c r="T22" s="28">
        <v>3.52</v>
      </c>
      <c r="U22" s="28">
        <v>3.99</v>
      </c>
      <c r="V22" s="28">
        <v>4.5</v>
      </c>
    </row>
    <row r="23" spans="1:22">
      <c r="A23" s="183">
        <f t="shared" ref="A23:A42" si="1">1+A22</f>
        <v>3</v>
      </c>
      <c r="B23" s="28">
        <v>0.75</v>
      </c>
      <c r="C23" s="28">
        <v>0.8</v>
      </c>
      <c r="D23" s="28">
        <v>0.85</v>
      </c>
      <c r="E23" s="28">
        <v>0.91</v>
      </c>
      <c r="F23" s="28">
        <v>0.97</v>
      </c>
      <c r="G23" s="28">
        <v>1.04</v>
      </c>
      <c r="H23" s="28">
        <v>1.1200000000000001</v>
      </c>
      <c r="I23" s="28">
        <v>1.21</v>
      </c>
      <c r="J23" s="28">
        <v>1.33</v>
      </c>
      <c r="K23" s="28">
        <v>1.48</v>
      </c>
      <c r="L23" s="28">
        <v>1.65</v>
      </c>
      <c r="M23" s="28">
        <v>1.86</v>
      </c>
      <c r="N23" s="28">
        <v>2.1</v>
      </c>
      <c r="O23" s="28">
        <v>2.4</v>
      </c>
      <c r="P23" s="28">
        <v>2.74</v>
      </c>
      <c r="Q23" s="28">
        <v>3.13</v>
      </c>
      <c r="R23" s="28">
        <v>3.57</v>
      </c>
      <c r="S23" s="28">
        <v>4.0599999999999996</v>
      </c>
      <c r="T23" s="28">
        <v>4.6100000000000003</v>
      </c>
      <c r="U23" s="28">
        <v>5.21</v>
      </c>
      <c r="V23" s="28">
        <v>5.86</v>
      </c>
    </row>
    <row r="24" spans="1:22">
      <c r="A24" s="183">
        <f t="shared" si="1"/>
        <v>4</v>
      </c>
      <c r="B24" s="28">
        <v>0.88</v>
      </c>
      <c r="C24" s="28">
        <v>0.93</v>
      </c>
      <c r="D24" s="28">
        <v>0.99</v>
      </c>
      <c r="E24" s="28">
        <v>1.06</v>
      </c>
      <c r="F24" s="28">
        <v>1.1399999999999999</v>
      </c>
      <c r="G24" s="28">
        <v>1.23</v>
      </c>
      <c r="H24" s="28">
        <v>1.34</v>
      </c>
      <c r="I24" s="28">
        <v>1.47</v>
      </c>
      <c r="J24" s="28">
        <v>1.63</v>
      </c>
      <c r="K24" s="28">
        <v>1.82</v>
      </c>
      <c r="L24" s="28">
        <v>2.0499999999999998</v>
      </c>
      <c r="M24" s="28">
        <v>2.3199999999999998</v>
      </c>
      <c r="N24" s="28">
        <v>2.65</v>
      </c>
      <c r="O24" s="28">
        <v>3.03</v>
      </c>
      <c r="P24" s="28">
        <v>3.47</v>
      </c>
      <c r="Q24" s="28">
        <v>3.96</v>
      </c>
      <c r="R24" s="28">
        <v>4.51</v>
      </c>
      <c r="S24" s="28">
        <v>5.12</v>
      </c>
      <c r="T24" s="28">
        <v>5.79</v>
      </c>
      <c r="U24" s="28">
        <v>6.52</v>
      </c>
      <c r="V24" s="28">
        <v>7.31</v>
      </c>
    </row>
    <row r="25" spans="1:22">
      <c r="A25" s="183">
        <f t="shared" si="1"/>
        <v>5</v>
      </c>
      <c r="B25" s="28">
        <v>1</v>
      </c>
      <c r="C25" s="28">
        <v>1.07</v>
      </c>
      <c r="D25" s="28">
        <v>1.1399999999999999</v>
      </c>
      <c r="E25" s="28">
        <v>1.23</v>
      </c>
      <c r="F25" s="28">
        <v>1.32</v>
      </c>
      <c r="G25" s="28">
        <v>1.44</v>
      </c>
      <c r="H25" s="28">
        <v>1.59</v>
      </c>
      <c r="I25" s="28">
        <v>1.76</v>
      </c>
      <c r="J25" s="28">
        <v>1.97</v>
      </c>
      <c r="K25" s="28">
        <v>2.2200000000000002</v>
      </c>
      <c r="L25" s="28">
        <v>2.52</v>
      </c>
      <c r="M25" s="28">
        <v>2.87</v>
      </c>
      <c r="N25" s="28">
        <v>3.29</v>
      </c>
      <c r="O25" s="28">
        <v>3.76</v>
      </c>
      <c r="P25" s="28">
        <v>4.3</v>
      </c>
      <c r="Q25" s="28">
        <v>4.9000000000000004</v>
      </c>
      <c r="R25" s="28">
        <v>5.57</v>
      </c>
      <c r="S25" s="28">
        <v>6.3</v>
      </c>
      <c r="T25" s="28">
        <v>7.1</v>
      </c>
      <c r="U25" s="28">
        <v>7.97</v>
      </c>
      <c r="V25" s="28">
        <v>8.9</v>
      </c>
    </row>
    <row r="26" spans="1:22">
      <c r="A26" s="183">
        <f t="shared" si="1"/>
        <v>6</v>
      </c>
      <c r="B26" s="28">
        <v>1.1399999999999999</v>
      </c>
      <c r="C26" s="28">
        <v>1.22</v>
      </c>
      <c r="D26" s="28">
        <v>1.31</v>
      </c>
      <c r="E26" s="28">
        <v>1.41</v>
      </c>
      <c r="F26" s="28">
        <v>1.54</v>
      </c>
      <c r="G26" s="28">
        <v>1.69</v>
      </c>
      <c r="H26" s="28">
        <v>1.88</v>
      </c>
      <c r="I26" s="28">
        <v>2.1</v>
      </c>
      <c r="J26" s="28">
        <v>2.37</v>
      </c>
      <c r="K26" s="28">
        <v>2.69</v>
      </c>
      <c r="L26" s="28">
        <v>3.08</v>
      </c>
      <c r="M26" s="28">
        <v>3.52</v>
      </c>
      <c r="N26" s="28">
        <v>4.03</v>
      </c>
      <c r="O26" s="28">
        <v>4.6100000000000003</v>
      </c>
      <c r="P26" s="28">
        <v>5.26</v>
      </c>
      <c r="Q26" s="28">
        <v>5.98</v>
      </c>
      <c r="R26" s="28">
        <v>6.77</v>
      </c>
      <c r="S26" s="28">
        <v>7.63</v>
      </c>
      <c r="T26" s="28">
        <v>8.57</v>
      </c>
      <c r="U26" s="28">
        <v>9.58</v>
      </c>
      <c r="V26" s="28">
        <v>10.67</v>
      </c>
    </row>
    <row r="27" spans="1:22">
      <c r="A27" s="183">
        <f t="shared" si="1"/>
        <v>7</v>
      </c>
      <c r="B27" s="28">
        <v>1.29</v>
      </c>
      <c r="C27" s="28">
        <v>1.38</v>
      </c>
      <c r="D27" s="28">
        <v>1.49</v>
      </c>
      <c r="E27" s="28">
        <v>1.63</v>
      </c>
      <c r="F27" s="28">
        <v>1.79</v>
      </c>
      <c r="G27" s="28">
        <v>1.99</v>
      </c>
      <c r="H27" s="28">
        <v>2.23</v>
      </c>
      <c r="I27" s="28">
        <v>2.5099999999999998</v>
      </c>
      <c r="J27" s="28">
        <v>2.85</v>
      </c>
      <c r="K27" s="28">
        <v>3.26</v>
      </c>
      <c r="L27" s="28">
        <v>3.74</v>
      </c>
      <c r="M27" s="28">
        <v>4.28</v>
      </c>
      <c r="N27" s="28">
        <v>4.9000000000000004</v>
      </c>
      <c r="O27" s="28">
        <v>5.59</v>
      </c>
      <c r="P27" s="28">
        <v>6.35</v>
      </c>
      <c r="Q27" s="28">
        <v>7.2</v>
      </c>
      <c r="R27" s="28">
        <v>8.1199999999999992</v>
      </c>
      <c r="S27" s="28">
        <v>9.1199999999999992</v>
      </c>
      <c r="T27" s="28">
        <v>10.199999999999999</v>
      </c>
      <c r="U27" s="28">
        <v>11.36</v>
      </c>
      <c r="V27" s="28">
        <v>12.61</v>
      </c>
    </row>
    <row r="28" spans="1:22">
      <c r="A28" s="183">
        <f t="shared" si="1"/>
        <v>8</v>
      </c>
      <c r="B28" s="28">
        <v>1.45</v>
      </c>
      <c r="C28" s="28">
        <v>1.57</v>
      </c>
      <c r="D28" s="28">
        <v>1.71</v>
      </c>
      <c r="E28" s="28">
        <v>1.89</v>
      </c>
      <c r="F28" s="28">
        <v>2.09</v>
      </c>
      <c r="G28" s="28">
        <v>2.35</v>
      </c>
      <c r="H28" s="28">
        <v>2.65</v>
      </c>
      <c r="I28" s="28">
        <v>3.01</v>
      </c>
      <c r="J28" s="28">
        <v>3.44</v>
      </c>
      <c r="K28" s="28">
        <v>3.94</v>
      </c>
      <c r="L28" s="28">
        <v>4.5199999999999996</v>
      </c>
      <c r="M28" s="28">
        <v>5.17</v>
      </c>
      <c r="N28" s="28">
        <v>5.9</v>
      </c>
      <c r="O28" s="28">
        <v>6.71</v>
      </c>
      <c r="P28" s="28">
        <v>7.6</v>
      </c>
      <c r="Q28" s="28">
        <v>8.58</v>
      </c>
      <c r="R28" s="28">
        <v>9.64</v>
      </c>
      <c r="S28" s="28">
        <v>10.78</v>
      </c>
      <c r="T28" s="28">
        <v>12.02</v>
      </c>
      <c r="U28" s="28">
        <v>13.34</v>
      </c>
      <c r="V28" s="28">
        <v>14.76</v>
      </c>
    </row>
    <row r="29" spans="1:22">
      <c r="A29" s="183">
        <f t="shared" si="1"/>
        <v>9</v>
      </c>
      <c r="B29" s="28">
        <v>1.64</v>
      </c>
      <c r="C29" s="28">
        <v>1.79</v>
      </c>
      <c r="D29" s="28">
        <v>1.97</v>
      </c>
      <c r="E29" s="28">
        <v>2.19</v>
      </c>
      <c r="F29" s="28">
        <v>2.46</v>
      </c>
      <c r="G29" s="28">
        <v>2.77</v>
      </c>
      <c r="H29" s="28">
        <v>3.15</v>
      </c>
      <c r="I29" s="28">
        <v>3.61</v>
      </c>
      <c r="J29" s="28">
        <v>4.13</v>
      </c>
      <c r="K29" s="28">
        <v>4.74</v>
      </c>
      <c r="L29" s="28">
        <v>5.42</v>
      </c>
      <c r="M29" s="28">
        <v>6.19</v>
      </c>
      <c r="N29" s="28">
        <v>7.04</v>
      </c>
      <c r="O29" s="28">
        <v>7.98</v>
      </c>
      <c r="P29" s="28">
        <v>9.01</v>
      </c>
      <c r="Q29" s="28">
        <v>10.130000000000001</v>
      </c>
      <c r="R29" s="28">
        <v>11.34</v>
      </c>
      <c r="S29" s="28">
        <v>12.64</v>
      </c>
      <c r="T29" s="28">
        <v>14.04</v>
      </c>
      <c r="U29" s="28">
        <v>15.53</v>
      </c>
      <c r="V29" s="28">
        <v>17.12</v>
      </c>
    </row>
    <row r="30" spans="1:22">
      <c r="A30" s="183">
        <f t="shared" si="1"/>
        <v>10</v>
      </c>
      <c r="B30" s="28">
        <v>1.87</v>
      </c>
      <c r="C30" s="28">
        <v>2.06</v>
      </c>
      <c r="D30" s="28">
        <v>2.29</v>
      </c>
      <c r="E30" s="28">
        <v>2.56</v>
      </c>
      <c r="F30" s="28">
        <v>2.89</v>
      </c>
      <c r="G30" s="28">
        <v>3.29</v>
      </c>
      <c r="H30" s="28">
        <v>3.77</v>
      </c>
      <c r="I30" s="28">
        <v>4.32</v>
      </c>
      <c r="J30" s="28">
        <v>4.95</v>
      </c>
      <c r="K30" s="28">
        <v>5.67</v>
      </c>
      <c r="L30" s="28">
        <v>6.47</v>
      </c>
      <c r="M30" s="28">
        <v>7.36</v>
      </c>
      <c r="N30" s="28">
        <v>8.35</v>
      </c>
      <c r="O30" s="28">
        <v>9.43</v>
      </c>
      <c r="P30" s="28">
        <v>10.6</v>
      </c>
      <c r="Q30" s="28">
        <v>11.87</v>
      </c>
      <c r="R30" s="28">
        <v>13.23</v>
      </c>
      <c r="S30" s="28">
        <v>14.7</v>
      </c>
      <c r="T30" s="28">
        <v>16.27</v>
      </c>
      <c r="U30" s="28">
        <v>17.940000000000001</v>
      </c>
      <c r="V30" s="28">
        <v>19.72</v>
      </c>
    </row>
    <row r="31" spans="1:22">
      <c r="A31" s="183">
        <f t="shared" si="1"/>
        <v>11</v>
      </c>
      <c r="B31" s="28">
        <v>2.14</v>
      </c>
      <c r="C31" s="28">
        <v>2.38</v>
      </c>
      <c r="D31" s="28">
        <v>2.66</v>
      </c>
      <c r="E31" s="28">
        <v>3.01</v>
      </c>
      <c r="F31" s="28">
        <v>3.42</v>
      </c>
      <c r="G31" s="28">
        <v>3.92</v>
      </c>
      <c r="H31" s="28">
        <v>4.49</v>
      </c>
      <c r="I31" s="28">
        <v>5.15</v>
      </c>
      <c r="J31" s="28">
        <v>5.9</v>
      </c>
      <c r="K31" s="28">
        <v>6.74</v>
      </c>
      <c r="L31" s="28">
        <v>7.67</v>
      </c>
      <c r="M31" s="28">
        <v>8.6999999999999993</v>
      </c>
      <c r="N31" s="28">
        <v>9.82</v>
      </c>
      <c r="O31" s="28">
        <v>11.05</v>
      </c>
      <c r="P31" s="28">
        <v>12.37</v>
      </c>
      <c r="Q31" s="28">
        <v>13.8</v>
      </c>
      <c r="R31" s="28">
        <v>15.34</v>
      </c>
      <c r="S31" s="28">
        <v>16.98</v>
      </c>
      <c r="T31" s="28">
        <v>18.72</v>
      </c>
      <c r="U31" s="28">
        <v>20.58</v>
      </c>
      <c r="V31" s="28">
        <v>22.55</v>
      </c>
    </row>
    <row r="32" spans="1:22">
      <c r="A32" s="183">
        <f t="shared" si="1"/>
        <v>12</v>
      </c>
      <c r="B32" s="28">
        <v>2.46</v>
      </c>
      <c r="C32" s="28">
        <v>2.76</v>
      </c>
      <c r="D32" s="28">
        <v>3.12</v>
      </c>
      <c r="E32" s="28">
        <v>3.55</v>
      </c>
      <c r="F32" s="28">
        <v>4.0599999999999996</v>
      </c>
      <c r="G32" s="28">
        <v>4.66</v>
      </c>
      <c r="H32" s="28">
        <v>5.35</v>
      </c>
      <c r="I32" s="28">
        <v>6.12</v>
      </c>
      <c r="J32" s="28">
        <v>7</v>
      </c>
      <c r="K32" s="28">
        <v>7.97</v>
      </c>
      <c r="L32" s="28">
        <v>9.0399999999999991</v>
      </c>
      <c r="M32" s="28">
        <v>10.210000000000001</v>
      </c>
      <c r="N32" s="28">
        <v>11.48</v>
      </c>
      <c r="O32" s="28">
        <v>12.86</v>
      </c>
      <c r="P32" s="28">
        <v>14.35</v>
      </c>
      <c r="Q32" s="28">
        <v>15.95</v>
      </c>
      <c r="R32" s="28">
        <v>17.66</v>
      </c>
      <c r="S32" s="28">
        <v>19.48</v>
      </c>
      <c r="T32" s="28">
        <v>21.42</v>
      </c>
      <c r="U32" s="28">
        <v>23.47</v>
      </c>
      <c r="V32" s="28">
        <v>25.65</v>
      </c>
    </row>
    <row r="33" spans="1:22">
      <c r="A33" s="183">
        <f t="shared" si="1"/>
        <v>13</v>
      </c>
      <c r="B33" s="28">
        <v>2.86</v>
      </c>
      <c r="C33" s="28">
        <v>3.23</v>
      </c>
      <c r="D33" s="28">
        <v>3.67</v>
      </c>
      <c r="E33" s="28">
        <v>4.21</v>
      </c>
      <c r="F33" s="28">
        <v>4.83</v>
      </c>
      <c r="G33" s="28">
        <v>5.54</v>
      </c>
      <c r="H33" s="28">
        <v>6.34</v>
      </c>
      <c r="I33" s="28">
        <v>7.25</v>
      </c>
      <c r="J33" s="28">
        <v>8.25</v>
      </c>
      <c r="K33" s="28">
        <v>9.36</v>
      </c>
      <c r="L33" s="28">
        <v>10.58</v>
      </c>
      <c r="M33" s="28">
        <v>11.9</v>
      </c>
      <c r="N33" s="28">
        <v>13.33</v>
      </c>
      <c r="O33" s="28">
        <v>14.88</v>
      </c>
      <c r="P33" s="28">
        <v>16.54</v>
      </c>
      <c r="Q33" s="28">
        <v>18.309999999999999</v>
      </c>
      <c r="R33" s="28">
        <v>20.21</v>
      </c>
      <c r="S33" s="28">
        <v>22.22</v>
      </c>
      <c r="T33" s="28">
        <v>24.36</v>
      </c>
      <c r="U33" s="28">
        <v>26.63</v>
      </c>
      <c r="V33" s="28">
        <v>29.02</v>
      </c>
    </row>
    <row r="34" spans="1:22">
      <c r="A34" s="183">
        <f t="shared" si="1"/>
        <v>14</v>
      </c>
      <c r="B34" s="28">
        <v>3.33</v>
      </c>
      <c r="C34" s="28">
        <v>3.79</v>
      </c>
      <c r="D34" s="28">
        <v>4.34</v>
      </c>
      <c r="E34" s="28">
        <v>4.99</v>
      </c>
      <c r="F34" s="28">
        <v>5.72</v>
      </c>
      <c r="G34" s="28">
        <v>6.55</v>
      </c>
      <c r="H34" s="28">
        <v>7.49</v>
      </c>
      <c r="I34" s="28">
        <v>8.5299999999999994</v>
      </c>
      <c r="J34" s="28">
        <v>9.68</v>
      </c>
      <c r="K34" s="28">
        <v>10.94</v>
      </c>
      <c r="L34" s="28">
        <v>12.31</v>
      </c>
      <c r="M34" s="28">
        <v>13.79</v>
      </c>
      <c r="N34" s="28">
        <v>15.39</v>
      </c>
      <c r="O34" s="28">
        <v>17.11</v>
      </c>
      <c r="P34" s="28">
        <v>18.95</v>
      </c>
      <c r="Q34" s="28">
        <v>20.92</v>
      </c>
      <c r="R34" s="28">
        <v>23.01</v>
      </c>
      <c r="S34" s="28">
        <v>25.22</v>
      </c>
      <c r="T34" s="28">
        <v>27.57</v>
      </c>
      <c r="U34" s="28">
        <v>30.05</v>
      </c>
      <c r="V34" s="28">
        <v>32.67</v>
      </c>
    </row>
    <row r="35" spans="1:22">
      <c r="A35" s="183">
        <f t="shared" si="1"/>
        <v>15</v>
      </c>
      <c r="B35" s="28">
        <v>3.91</v>
      </c>
      <c r="C35" s="28">
        <v>4.4800000000000004</v>
      </c>
      <c r="D35" s="28">
        <v>5.14</v>
      </c>
      <c r="E35" s="28">
        <v>5.9</v>
      </c>
      <c r="F35" s="28">
        <v>6.76</v>
      </c>
      <c r="G35" s="28">
        <v>7.72</v>
      </c>
      <c r="H35" s="28">
        <v>8.8000000000000007</v>
      </c>
      <c r="I35" s="28">
        <v>9.98</v>
      </c>
      <c r="J35" s="28">
        <v>11.28</v>
      </c>
      <c r="K35" s="28">
        <v>12.7</v>
      </c>
      <c r="L35" s="28">
        <v>14.23</v>
      </c>
      <c r="M35" s="28">
        <v>15.89</v>
      </c>
      <c r="N35" s="28">
        <v>17.670000000000002</v>
      </c>
      <c r="O35" s="28">
        <v>19.57</v>
      </c>
      <c r="P35" s="28">
        <v>21.6</v>
      </c>
      <c r="Q35" s="28">
        <v>23.76</v>
      </c>
      <c r="R35" s="28">
        <v>26.06</v>
      </c>
      <c r="S35" s="28">
        <v>28.49</v>
      </c>
      <c r="T35" s="28">
        <v>31.06</v>
      </c>
      <c r="U35" s="28">
        <v>33.770000000000003</v>
      </c>
      <c r="V35" s="28">
        <v>36.619999999999997</v>
      </c>
    </row>
    <row r="36" spans="1:22">
      <c r="A36" s="183">
        <f t="shared" si="1"/>
        <v>16</v>
      </c>
      <c r="B36" s="28">
        <v>4.6100000000000003</v>
      </c>
      <c r="C36" s="28">
        <v>5.29</v>
      </c>
      <c r="D36" s="28">
        <v>6.07</v>
      </c>
      <c r="E36" s="28">
        <v>6.95</v>
      </c>
      <c r="F36" s="28">
        <v>7.95</v>
      </c>
      <c r="G36" s="28">
        <v>9.06</v>
      </c>
      <c r="H36" s="28">
        <v>10.28</v>
      </c>
      <c r="I36" s="28">
        <v>11.62</v>
      </c>
      <c r="J36" s="28">
        <v>13.08</v>
      </c>
      <c r="K36" s="28">
        <v>14.67</v>
      </c>
      <c r="L36" s="28">
        <v>16.37</v>
      </c>
      <c r="M36" s="28">
        <v>18.21</v>
      </c>
      <c r="N36" s="28">
        <v>20.170000000000002</v>
      </c>
      <c r="O36" s="28">
        <v>22.27</v>
      </c>
      <c r="P36" s="28">
        <v>24.5</v>
      </c>
      <c r="Q36" s="28">
        <v>26.87</v>
      </c>
      <c r="R36" s="28">
        <v>29.38</v>
      </c>
      <c r="S36" s="28">
        <v>32.04</v>
      </c>
      <c r="T36" s="28">
        <v>34.840000000000003</v>
      </c>
      <c r="U36" s="28">
        <v>37.78</v>
      </c>
      <c r="V36" s="28">
        <v>40.880000000000003</v>
      </c>
    </row>
    <row r="37" spans="1:22">
      <c r="A37" s="183">
        <f t="shared" si="1"/>
        <v>17</v>
      </c>
      <c r="B37" s="28">
        <v>5.29</v>
      </c>
      <c r="C37" s="28">
        <v>6.07</v>
      </c>
      <c r="D37" s="28">
        <v>6.95</v>
      </c>
      <c r="E37" s="28">
        <v>7.95</v>
      </c>
      <c r="F37" s="28">
        <v>9.06</v>
      </c>
      <c r="G37" s="28">
        <v>10.28</v>
      </c>
      <c r="H37" s="28">
        <v>11.62</v>
      </c>
      <c r="I37" s="28">
        <v>13.08</v>
      </c>
      <c r="J37" s="28">
        <v>14.67</v>
      </c>
      <c r="K37" s="28">
        <v>16.37</v>
      </c>
      <c r="L37" s="28">
        <v>18.21</v>
      </c>
      <c r="M37" s="28">
        <v>20.170000000000002</v>
      </c>
      <c r="N37" s="28">
        <v>22.27</v>
      </c>
      <c r="O37" s="28">
        <v>24.5</v>
      </c>
      <c r="P37" s="28">
        <v>26.87</v>
      </c>
      <c r="Q37" s="28">
        <v>29.38</v>
      </c>
      <c r="R37" s="28">
        <v>32.04</v>
      </c>
      <c r="S37" s="28">
        <v>34.840000000000003</v>
      </c>
      <c r="T37" s="28">
        <v>37.78</v>
      </c>
      <c r="U37" s="28">
        <v>40.880000000000003</v>
      </c>
      <c r="V37" s="28">
        <v>45.72</v>
      </c>
    </row>
    <row r="38" spans="1:22">
      <c r="A38" s="183">
        <f t="shared" si="1"/>
        <v>18</v>
      </c>
      <c r="B38" s="28">
        <v>6.07</v>
      </c>
      <c r="C38" s="28">
        <v>6.95</v>
      </c>
      <c r="D38" s="28">
        <v>7.95</v>
      </c>
      <c r="E38" s="28">
        <v>9.06</v>
      </c>
      <c r="F38" s="28">
        <v>10.28</v>
      </c>
      <c r="G38" s="28">
        <v>11.62</v>
      </c>
      <c r="H38" s="28">
        <v>13.08</v>
      </c>
      <c r="I38" s="28">
        <v>14.67</v>
      </c>
      <c r="J38" s="28">
        <v>16.37</v>
      </c>
      <c r="K38" s="28">
        <v>18.21</v>
      </c>
      <c r="L38" s="28">
        <v>20.170000000000002</v>
      </c>
      <c r="M38" s="28">
        <v>22.27</v>
      </c>
      <c r="N38" s="28">
        <v>24.5</v>
      </c>
      <c r="O38" s="28">
        <v>26.87</v>
      </c>
      <c r="P38" s="28">
        <v>29.38</v>
      </c>
      <c r="Q38" s="28">
        <v>32.04</v>
      </c>
      <c r="R38" s="28">
        <v>34.840000000000003</v>
      </c>
      <c r="S38" s="28">
        <v>37.78</v>
      </c>
      <c r="T38" s="28">
        <v>40.880000000000003</v>
      </c>
      <c r="U38" s="28">
        <v>45.72</v>
      </c>
      <c r="V38" s="28">
        <v>52.76</v>
      </c>
    </row>
    <row r="39" spans="1:22">
      <c r="A39" s="183">
        <f t="shared" si="1"/>
        <v>19</v>
      </c>
      <c r="B39" s="28">
        <v>6.95</v>
      </c>
      <c r="C39" s="28">
        <v>7.95</v>
      </c>
      <c r="D39" s="28">
        <v>9.06</v>
      </c>
      <c r="E39" s="28">
        <v>10.28</v>
      </c>
      <c r="F39" s="28">
        <v>11.62</v>
      </c>
      <c r="G39" s="28">
        <v>13.08</v>
      </c>
      <c r="H39" s="28">
        <v>14.67</v>
      </c>
      <c r="I39" s="28">
        <v>16.37</v>
      </c>
      <c r="J39" s="28">
        <v>18.21</v>
      </c>
      <c r="K39" s="28">
        <v>20.170000000000002</v>
      </c>
      <c r="L39" s="28">
        <v>22.27</v>
      </c>
      <c r="M39" s="28">
        <v>24.5</v>
      </c>
      <c r="N39" s="28">
        <v>26.87</v>
      </c>
      <c r="O39" s="28">
        <v>29.38</v>
      </c>
      <c r="P39" s="28">
        <v>32.04</v>
      </c>
      <c r="Q39" s="28">
        <v>34.840000000000003</v>
      </c>
      <c r="R39" s="28">
        <v>37.78</v>
      </c>
      <c r="S39" s="28">
        <v>40.880000000000003</v>
      </c>
      <c r="T39" s="28">
        <v>45.72</v>
      </c>
      <c r="U39" s="28">
        <v>52.76</v>
      </c>
      <c r="V39" s="28">
        <v>61.01</v>
      </c>
    </row>
    <row r="40" spans="1:22">
      <c r="A40" s="183">
        <f t="shared" si="1"/>
        <v>20</v>
      </c>
      <c r="B40" s="28">
        <v>7.95</v>
      </c>
      <c r="C40" s="28">
        <v>9.06</v>
      </c>
      <c r="D40" s="28">
        <v>10.28</v>
      </c>
      <c r="E40" s="28">
        <v>11.62</v>
      </c>
      <c r="F40" s="28">
        <v>13.08</v>
      </c>
      <c r="G40" s="28">
        <v>14.67</v>
      </c>
      <c r="H40" s="28">
        <v>16.37</v>
      </c>
      <c r="I40" s="28">
        <v>18.21</v>
      </c>
      <c r="J40" s="28">
        <v>20.170000000000002</v>
      </c>
      <c r="K40" s="28">
        <v>22.27</v>
      </c>
      <c r="L40" s="28">
        <v>24.5</v>
      </c>
      <c r="M40" s="28">
        <v>26.87</v>
      </c>
      <c r="N40" s="28">
        <v>29.38</v>
      </c>
      <c r="O40" s="28">
        <v>32.04</v>
      </c>
      <c r="P40" s="28">
        <v>34.840000000000003</v>
      </c>
      <c r="Q40" s="28">
        <v>37.78</v>
      </c>
      <c r="R40" s="28">
        <v>40.880000000000003</v>
      </c>
      <c r="S40" s="28">
        <v>45.72</v>
      </c>
      <c r="T40" s="28">
        <v>52.76</v>
      </c>
      <c r="U40" s="28">
        <v>61.01</v>
      </c>
      <c r="V40" s="28">
        <v>70.64</v>
      </c>
    </row>
    <row r="41" spans="1:22">
      <c r="A41" s="183">
        <f t="shared" si="1"/>
        <v>21</v>
      </c>
      <c r="B41" s="28">
        <v>9.06</v>
      </c>
      <c r="C41" s="28">
        <v>10.28</v>
      </c>
      <c r="D41" s="28">
        <v>11.62</v>
      </c>
      <c r="E41" s="28">
        <v>13.08</v>
      </c>
      <c r="F41" s="28">
        <v>14.67</v>
      </c>
      <c r="G41" s="28">
        <v>16.37</v>
      </c>
      <c r="H41" s="28">
        <v>18.21</v>
      </c>
      <c r="I41" s="28">
        <v>20.170000000000002</v>
      </c>
      <c r="J41" s="28">
        <v>22.27</v>
      </c>
      <c r="K41" s="28">
        <v>24.5</v>
      </c>
      <c r="L41" s="28">
        <v>26.87</v>
      </c>
      <c r="M41" s="28">
        <v>29.38</v>
      </c>
      <c r="N41" s="28">
        <v>32.04</v>
      </c>
      <c r="O41" s="28">
        <v>34.840000000000003</v>
      </c>
      <c r="P41" s="28">
        <v>37.78</v>
      </c>
      <c r="Q41" s="28">
        <v>40.880000000000003</v>
      </c>
      <c r="R41" s="28">
        <v>45.72</v>
      </c>
      <c r="S41" s="28">
        <v>52.76</v>
      </c>
      <c r="T41" s="28">
        <v>61.01</v>
      </c>
      <c r="U41" s="28">
        <v>70.64</v>
      </c>
      <c r="V41" s="28">
        <v>81.81</v>
      </c>
    </row>
    <row r="42" spans="1:22">
      <c r="A42" s="183">
        <f t="shared" si="1"/>
        <v>22</v>
      </c>
      <c r="B42" s="28">
        <v>10.28</v>
      </c>
      <c r="C42" s="28">
        <v>11.62</v>
      </c>
      <c r="D42" s="28">
        <v>13.08</v>
      </c>
      <c r="E42" s="28">
        <v>14.67</v>
      </c>
      <c r="F42" s="28">
        <v>16.37</v>
      </c>
      <c r="G42" s="28">
        <v>18.21</v>
      </c>
      <c r="H42" s="28">
        <v>20.170000000000002</v>
      </c>
      <c r="I42" s="28">
        <v>22.27</v>
      </c>
      <c r="J42" s="28">
        <v>24.5</v>
      </c>
      <c r="K42" s="28">
        <v>26.87</v>
      </c>
      <c r="L42" s="28">
        <v>29.38</v>
      </c>
      <c r="M42" s="28">
        <v>32.04</v>
      </c>
      <c r="N42" s="28">
        <v>34.840000000000003</v>
      </c>
      <c r="O42" s="28">
        <v>37.78</v>
      </c>
      <c r="P42" s="28">
        <v>40.880000000000003</v>
      </c>
      <c r="Q42" s="28">
        <v>45.72</v>
      </c>
      <c r="R42" s="28">
        <v>52.76</v>
      </c>
      <c r="S42" s="28">
        <v>61.01</v>
      </c>
      <c r="T42" s="28">
        <v>70.64</v>
      </c>
      <c r="U42" s="28">
        <v>81.81</v>
      </c>
      <c r="V42" s="28">
        <v>94.8</v>
      </c>
    </row>
    <row r="43" spans="1:22">
      <c r="A43" s="28"/>
      <c r="B43" s="28"/>
      <c r="C43" s="28"/>
      <c r="D43" s="28"/>
      <c r="E43" s="28"/>
      <c r="F43" s="28"/>
      <c r="G43" s="28"/>
      <c r="H43" s="28"/>
      <c r="I43" s="28"/>
      <c r="J43" s="28"/>
      <c r="K43" s="28"/>
      <c r="L43" s="28"/>
      <c r="M43" s="28"/>
      <c r="N43" s="28"/>
      <c r="O43" s="28"/>
      <c r="P43" s="28"/>
      <c r="Q43" s="28"/>
      <c r="R43" s="28"/>
      <c r="S43" s="28"/>
      <c r="T43" s="28"/>
      <c r="U43" s="28"/>
      <c r="V43" s="28"/>
    </row>
    <row r="44" spans="1:22">
      <c r="A44" s="28"/>
      <c r="B44" s="28"/>
      <c r="C44" s="28"/>
      <c r="D44" s="28"/>
      <c r="E44" s="28"/>
      <c r="F44" s="28"/>
      <c r="G44" s="28"/>
      <c r="H44" s="28"/>
      <c r="I44" s="28"/>
      <c r="J44" s="28"/>
      <c r="K44" s="28"/>
      <c r="L44" s="28"/>
      <c r="M44" s="28"/>
      <c r="N44" s="28"/>
      <c r="O44" s="28"/>
      <c r="P44" s="28"/>
      <c r="Q44" s="28"/>
      <c r="R44" s="28"/>
      <c r="S44" s="28"/>
      <c r="T44" s="28"/>
      <c r="U44" s="28"/>
      <c r="V44" s="28"/>
    </row>
    <row r="45" spans="1:22" ht="15.6">
      <c r="A45" s="38"/>
      <c r="B45" s="28"/>
      <c r="C45" s="28"/>
      <c r="D45" s="28"/>
      <c r="E45" s="28"/>
      <c r="F45" s="28"/>
      <c r="G45" s="28"/>
      <c r="H45" s="28"/>
      <c r="I45" s="28"/>
      <c r="J45" s="28"/>
      <c r="K45" s="28"/>
      <c r="L45" s="28"/>
      <c r="M45" s="28"/>
      <c r="N45" s="28"/>
      <c r="O45" s="28"/>
      <c r="P45" s="28"/>
      <c r="Q45" s="28"/>
      <c r="R45" s="28"/>
      <c r="S45" s="28"/>
      <c r="T45" s="28"/>
      <c r="U45" s="28"/>
      <c r="V45" s="28"/>
    </row>
    <row r="46" spans="1:22" ht="15.6">
      <c r="A46" s="38" t="s">
        <v>300</v>
      </c>
      <c r="B46" s="28"/>
      <c r="C46" s="28"/>
      <c r="D46" s="28"/>
      <c r="E46" s="28"/>
      <c r="F46" s="28"/>
      <c r="G46" s="28"/>
      <c r="H46" s="28"/>
      <c r="I46" s="28"/>
      <c r="J46" s="28"/>
      <c r="K46" s="28"/>
      <c r="L46" s="28"/>
      <c r="M46" s="28"/>
      <c r="N46" s="28"/>
      <c r="O46" s="28"/>
      <c r="P46" s="28"/>
      <c r="Q46" s="28"/>
      <c r="R46" s="28"/>
      <c r="S46" s="28"/>
      <c r="T46" s="28"/>
      <c r="U46" s="28"/>
      <c r="V46" s="28"/>
    </row>
    <row r="47" spans="1:22">
      <c r="A47" s="184"/>
      <c r="B47" s="28"/>
      <c r="C47" s="28"/>
      <c r="D47" s="28"/>
      <c r="E47" s="28"/>
      <c r="F47" s="28"/>
      <c r="G47" s="28"/>
      <c r="H47" s="28"/>
      <c r="I47" s="28"/>
      <c r="J47" s="28"/>
      <c r="K47" s="28"/>
      <c r="L47" s="28"/>
      <c r="M47" s="28"/>
      <c r="N47" s="28"/>
      <c r="O47" s="28"/>
      <c r="P47" s="28"/>
      <c r="Q47" s="28"/>
      <c r="R47" s="28"/>
      <c r="S47" s="28"/>
      <c r="T47" s="28"/>
      <c r="U47" s="28"/>
      <c r="V47" s="28"/>
    </row>
    <row r="48" spans="1:22" ht="15.6">
      <c r="A48" s="38" t="s">
        <v>301</v>
      </c>
      <c r="B48" s="28"/>
      <c r="C48" s="28"/>
      <c r="D48" s="28"/>
      <c r="E48" s="28"/>
      <c r="F48" s="28"/>
      <c r="G48" s="28"/>
      <c r="H48" s="28"/>
      <c r="I48" s="28"/>
      <c r="J48" s="28"/>
      <c r="K48" s="28"/>
      <c r="L48" s="28"/>
      <c r="M48" s="28"/>
      <c r="N48" s="28"/>
      <c r="O48" s="28"/>
      <c r="P48" s="28"/>
      <c r="Q48" s="28"/>
      <c r="R48" s="28"/>
      <c r="S48" s="28"/>
      <c r="T48" s="28"/>
      <c r="U48" s="28"/>
      <c r="V48" s="28"/>
    </row>
    <row r="49" spans="1:22" ht="15.6">
      <c r="A49" s="38"/>
      <c r="B49" s="28"/>
      <c r="C49" s="28"/>
      <c r="D49" s="28"/>
      <c r="E49" s="28"/>
      <c r="F49" s="28"/>
      <c r="G49" s="28"/>
      <c r="H49" s="28"/>
      <c r="I49" s="28"/>
      <c r="J49" s="28"/>
      <c r="K49" s="28"/>
      <c r="L49" s="28"/>
      <c r="M49" s="28"/>
      <c r="N49" s="28"/>
      <c r="O49" s="28"/>
      <c r="P49" s="28"/>
      <c r="Q49" s="28"/>
      <c r="R49" s="28"/>
      <c r="S49" s="28"/>
      <c r="T49" s="28"/>
      <c r="U49" s="28"/>
      <c r="V49" s="28"/>
    </row>
    <row r="50" spans="1:22" ht="15.6">
      <c r="A50" s="38" t="s">
        <v>302</v>
      </c>
      <c r="B50" s="28"/>
      <c r="C50" s="28"/>
      <c r="D50" s="28"/>
      <c r="E50" s="28"/>
      <c r="F50" s="28"/>
      <c r="G50" s="28"/>
      <c r="H50" s="28"/>
      <c r="I50" s="28"/>
      <c r="J50" s="28"/>
      <c r="K50" s="28"/>
      <c r="L50" s="28"/>
      <c r="M50" s="28"/>
      <c r="N50" s="28"/>
      <c r="O50" s="28"/>
      <c r="P50" s="28"/>
      <c r="Q50" s="28"/>
      <c r="R50" s="28"/>
      <c r="S50" s="28"/>
      <c r="T50" s="28"/>
      <c r="U50" s="28"/>
      <c r="V50" s="28"/>
    </row>
    <row r="51" spans="1:22" ht="15.6">
      <c r="A51" s="68" t="s">
        <v>303</v>
      </c>
    </row>
    <row r="52" spans="1:22" ht="15.6">
      <c r="A52" s="68"/>
    </row>
    <row r="53" spans="1:22" ht="15.6">
      <c r="A53" s="68"/>
    </row>
    <row r="54" spans="1:22" ht="15.6">
      <c r="A54" s="68"/>
    </row>
    <row r="55" spans="1:22" ht="14.55" customHeight="1">
      <c r="A55" s="68"/>
    </row>
    <row r="56" spans="1:22" ht="15.6">
      <c r="A56" s="68"/>
    </row>
    <row r="57" spans="1:22" ht="15.6">
      <c r="A57" s="38" t="s">
        <v>304</v>
      </c>
      <c r="B57" s="28"/>
      <c r="C57" s="28"/>
      <c r="D57" s="28"/>
      <c r="E57" s="28"/>
      <c r="F57" s="28"/>
      <c r="G57" s="28"/>
      <c r="H57" s="28"/>
      <c r="I57" s="28"/>
      <c r="J57" s="28"/>
      <c r="K57" s="28"/>
      <c r="L57" s="28"/>
      <c r="M57" s="28"/>
      <c r="N57" s="28"/>
      <c r="O57" s="28"/>
      <c r="P57" s="28"/>
      <c r="Q57" s="28"/>
      <c r="R57" s="28"/>
      <c r="S57" s="28"/>
      <c r="T57" s="28"/>
      <c r="U57" s="28"/>
      <c r="V57" s="28"/>
    </row>
    <row r="58" spans="1:22" ht="15.6">
      <c r="A58" s="68" t="s">
        <v>303</v>
      </c>
    </row>
    <row r="59" spans="1:22" ht="15.6">
      <c r="A59" s="68"/>
    </row>
    <row r="60" spans="1:22" ht="15.6">
      <c r="A60" s="68"/>
    </row>
    <row r="61" spans="1:22" ht="15.6">
      <c r="A61" s="68"/>
    </row>
    <row r="62" spans="1:22" ht="15.6">
      <c r="A62" s="68"/>
    </row>
    <row r="63" spans="1:22" ht="15.6">
      <c r="A63" s="68"/>
    </row>
    <row r="64" spans="1:22" ht="15.6">
      <c r="A64" s="38" t="s">
        <v>305</v>
      </c>
      <c r="B64" s="28"/>
      <c r="C64" s="28"/>
      <c r="D64" s="28"/>
      <c r="E64" s="28"/>
      <c r="F64" s="28"/>
      <c r="G64" s="28"/>
      <c r="H64" s="28"/>
      <c r="I64" s="28"/>
      <c r="J64" s="28"/>
      <c r="K64" s="28"/>
      <c r="L64" s="28"/>
      <c r="M64" s="28"/>
      <c r="N64" s="28"/>
      <c r="O64" s="28"/>
      <c r="P64" s="28"/>
      <c r="Q64" s="28"/>
      <c r="R64" s="28"/>
      <c r="S64" s="28"/>
      <c r="T64" s="28"/>
      <c r="U64" s="28"/>
      <c r="V64" s="28"/>
    </row>
    <row r="65" spans="1:22" ht="15.6">
      <c r="A65" s="68" t="s">
        <v>303</v>
      </c>
    </row>
    <row r="66" spans="1:22" ht="15.6">
      <c r="A66" s="68"/>
    </row>
    <row r="67" spans="1:22" ht="15.6">
      <c r="A67" s="68"/>
    </row>
    <row r="68" spans="1:22" ht="15.6">
      <c r="A68" s="68"/>
    </row>
    <row r="69" spans="1:22" ht="15.6">
      <c r="A69" s="68"/>
    </row>
    <row r="70" spans="1:22" ht="15.6">
      <c r="A70" s="68"/>
    </row>
    <row r="71" spans="1:22" ht="15.6">
      <c r="A71" s="38" t="s">
        <v>306</v>
      </c>
      <c r="B71" s="28"/>
      <c r="C71" s="28"/>
      <c r="D71" s="28"/>
      <c r="E71" s="28"/>
      <c r="F71" s="28"/>
      <c r="G71" s="28"/>
      <c r="H71" s="28"/>
      <c r="I71" s="28"/>
      <c r="J71" s="28"/>
      <c r="K71" s="28"/>
      <c r="L71" s="28"/>
      <c r="M71" s="28"/>
      <c r="N71" s="28"/>
      <c r="O71" s="28"/>
      <c r="P71" s="28"/>
      <c r="Q71" s="28"/>
      <c r="R71" s="28"/>
      <c r="S71" s="28"/>
      <c r="T71" s="28"/>
      <c r="U71" s="28"/>
      <c r="V71" s="28"/>
    </row>
    <row r="72" spans="1:22" ht="15.6">
      <c r="A72" s="68" t="s">
        <v>303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31F5B-0C31-46E7-9BB0-CA5597B63731}"/>
</file>

<file path=customXml/itemProps2.xml><?xml version="1.0" encoding="utf-8"?>
<ds:datastoreItem xmlns:ds="http://schemas.openxmlformats.org/officeDocument/2006/customXml" ds:itemID="{CDBA44F7-FF5A-406F-9EAB-460A22F965E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BF766FC-B640-4E8E-A102-20E3459CFF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6</vt:i4>
      </vt:variant>
    </vt:vector>
  </HeadingPairs>
  <TitlesOfParts>
    <vt:vector size="72" baseType="lpstr">
      <vt:lpstr>Cover </vt:lpstr>
      <vt:lpstr>ILA 201-I Questions &amp; Solutions</vt:lpstr>
      <vt:lpstr>F20 Q1(d) Question</vt:lpstr>
      <vt:lpstr>F20 Q2 Question</vt:lpstr>
      <vt:lpstr>F20 Q4(b) Question</vt:lpstr>
      <vt:lpstr>F20 Q6 Question</vt:lpstr>
      <vt:lpstr>F20 Q10 Question</vt:lpstr>
      <vt:lpstr>S21 Q1(c) Question</vt:lpstr>
      <vt:lpstr>S21 Q4(b) Question</vt:lpstr>
      <vt:lpstr>S21 Q5(d) Question</vt:lpstr>
      <vt:lpstr>S21 Q6(a) Question</vt:lpstr>
      <vt:lpstr>S21 Q7(b) Question</vt:lpstr>
      <vt:lpstr>S21 Q8(c) Question</vt:lpstr>
      <vt:lpstr>S21 Q9(a) Question</vt:lpstr>
      <vt:lpstr>S21 Q10(c) Question</vt:lpstr>
      <vt:lpstr>F21 Q2(a)(b) Question</vt:lpstr>
      <vt:lpstr>F21 Q2 Solution</vt:lpstr>
      <vt:lpstr>F21 Q4(a)(ii)(c) Question</vt:lpstr>
      <vt:lpstr>F21 Q5 Question</vt:lpstr>
      <vt:lpstr>F21 Q10(b)(ii)(e) Question</vt:lpstr>
      <vt:lpstr>S22 Q2(d) Question</vt:lpstr>
      <vt:lpstr>S22 Q6(d)(ii) Question</vt:lpstr>
      <vt:lpstr>S22 Q7(b) Question</vt:lpstr>
      <vt:lpstr>S22 Q9(b)(ii)(iii) Question</vt:lpstr>
      <vt:lpstr>F22 Q1(a)(c) Question</vt:lpstr>
      <vt:lpstr>F22 Q3(b) Question</vt:lpstr>
      <vt:lpstr>F22 Q5(c) Question</vt:lpstr>
      <vt:lpstr>F22 Q7(b) Question</vt:lpstr>
      <vt:lpstr>F22 Q9(c) Question</vt:lpstr>
      <vt:lpstr>F22 Q9(c) Solution</vt:lpstr>
      <vt:lpstr>F22 Q11(a) Question</vt:lpstr>
      <vt:lpstr>S23 Q2(c) i_ii Question</vt:lpstr>
      <vt:lpstr>S23 Q3(c) i_ii Question</vt:lpstr>
      <vt:lpstr>S23 Q4(c) i_ii Question</vt:lpstr>
      <vt:lpstr>S23 Q4(c) i_ii Solution</vt:lpstr>
      <vt:lpstr>S23 Q5(b) i_ii Question</vt:lpstr>
      <vt:lpstr>S23 Q6(b) Question</vt:lpstr>
      <vt:lpstr>S23 Q7(c) Question</vt:lpstr>
      <vt:lpstr>S23 Q8(a) i_ii Question</vt:lpstr>
      <vt:lpstr>S23 Q9(c) Question</vt:lpstr>
      <vt:lpstr>F23 Q1(b) i_ii Question</vt:lpstr>
      <vt:lpstr>F23 Q3(b),(c),(d) Question</vt:lpstr>
      <vt:lpstr>F23 Q4(c),(d)ii_iii Question</vt:lpstr>
      <vt:lpstr>F23 Q6(c) Question</vt:lpstr>
      <vt:lpstr>F23 Q6(c) Solution</vt:lpstr>
      <vt:lpstr>F23 Q7(b),(d) Question</vt:lpstr>
      <vt:lpstr>F23 Q8(b) Question</vt:lpstr>
      <vt:lpstr>S24 1a Question</vt:lpstr>
      <vt:lpstr>S24 1b Question</vt:lpstr>
      <vt:lpstr>S24 1b Solution</vt:lpstr>
      <vt:lpstr>S24 2b i_ii Question</vt:lpstr>
      <vt:lpstr>S24 3b i Question</vt:lpstr>
      <vt:lpstr>S24 3b i Solution</vt:lpstr>
      <vt:lpstr>S24 4b Question</vt:lpstr>
      <vt:lpstr>S24 5b Question</vt:lpstr>
      <vt:lpstr>S24 6a Question</vt:lpstr>
      <vt:lpstr>S24 6b i_ii Question</vt:lpstr>
      <vt:lpstr>S24 6b i_ii Solution</vt:lpstr>
      <vt:lpstr>S24 7b i Question</vt:lpstr>
      <vt:lpstr>S24 9c Question</vt:lpstr>
      <vt:lpstr>F24 Q1 Question</vt:lpstr>
      <vt:lpstr>F24 Q5 Question</vt:lpstr>
      <vt:lpstr>F24 Q6 Question</vt:lpstr>
      <vt:lpstr>F24 Q7 Question</vt:lpstr>
      <vt:lpstr>F24 Q8 Question</vt:lpstr>
      <vt:lpstr>F24 Q9 Question</vt:lpstr>
      <vt:lpstr>'S21 Q10(c) Question'!_Hlk61951056</vt:lpstr>
      <vt:lpstr>'S23 Q4(c) i_ii Solution'!FaceAmount</vt:lpstr>
      <vt:lpstr>'S23 Q4(c) i_ii Solution'!LockedInRate</vt:lpstr>
      <vt:lpstr>'S21 Q9(a) Question'!OLE_LINK1</vt:lpstr>
      <vt:lpstr>'S23 Q4(c) i_ii Solution'!Premium</vt:lpstr>
      <vt:lpstr>'S23 Q4(c) i_ii Solution'!RiskAdj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Davis</dc:creator>
  <cp:lastModifiedBy>Douglas Norris</cp:lastModifiedBy>
  <cp:lastPrinted>2018-04-06T02:32:32Z</cp:lastPrinted>
  <dcterms:created xsi:type="dcterms:W3CDTF">2013-02-07T13:09:41Z</dcterms:created>
  <dcterms:modified xsi:type="dcterms:W3CDTF">2025-06-27T19:58:06Z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y fmtid="{D5CDD505-2E9C-101B-9397-08002B2CF9AE}" pid="3" name="SV_QUERY_LIST_4F35BF76-6C0D-4D9B-82B2-816C12CF3733">
    <vt:lpwstr>empty_477D106A-C0D6-4607-AEBD-E2C9D60EA279</vt:lpwstr>
  </property>
  <property fmtid="{D5CDD505-2E9C-101B-9397-08002B2CF9AE}" pid="4" name="MSIP_Label_af49516a-7525-4936-8880-b1dc1e580865_Enabled">
    <vt:lpwstr>true</vt:lpwstr>
  </property>
  <property fmtid="{D5CDD505-2E9C-101B-9397-08002B2CF9AE}" pid="5" name="MSIP_Label_af49516a-7525-4936-8880-b1dc1e580865_SiteId">
    <vt:lpwstr>3bea478c-1684-4a8c-8e85-045ec54ba430</vt:lpwstr>
  </property>
  <property fmtid="{D5CDD505-2E9C-101B-9397-08002B2CF9AE}" pid="6" name="MSIP_Label_af49516a-7525-4936-8880-b1dc1e580865_Owner">
    <vt:lpwstr>Gifford.Nick@principal.com</vt:lpwstr>
  </property>
  <property fmtid="{D5CDD505-2E9C-101B-9397-08002B2CF9AE}" pid="7" name="MSIP_Label_af49516a-7525-4936-8880-b1dc1e580865_SetDate">
    <vt:lpwstr>2021-12-22T13:37:53Z</vt:lpwstr>
  </property>
  <property fmtid="{D5CDD505-2E9C-101B-9397-08002B2CF9AE}" pid="8" name="MSIP_Label_af49516a-7525-4936-8880-b1dc1e580865_Name">
    <vt:lpwstr>Non-visible label</vt:lpwstr>
  </property>
  <property fmtid="{D5CDD505-2E9C-101B-9397-08002B2CF9AE}" pid="9" name="MSIP_Label_af49516a-7525-4936-8880-b1dc1e580865_Application">
    <vt:lpwstr>Microsoft Azure Information Protection</vt:lpwstr>
  </property>
  <property fmtid="{D5CDD505-2E9C-101B-9397-08002B2CF9AE}" pid="10" name="MSIP_Label_af49516a-7525-4936-8880-b1dc1e580865_Parent">
    <vt:lpwstr>3b4f6feb-bc60-48e1-9a65-8f26ae8b4956</vt:lpwstr>
  </property>
  <property fmtid="{D5CDD505-2E9C-101B-9397-08002B2CF9AE}" pid="11" name="MSIP_Label_af49516a-7525-4936-8880-b1dc1e580865_Extended_MSFT_Method">
    <vt:lpwstr>Manual</vt:lpwstr>
  </property>
  <property fmtid="{D5CDD505-2E9C-101B-9397-08002B2CF9AE}" pid="12" name="MSIP_Label_af49516a-7525-4936-8880-b1dc1e580865_Method">
    <vt:lpwstr>Privileged</vt:lpwstr>
  </property>
  <property fmtid="{D5CDD505-2E9C-101B-9397-08002B2CF9AE}" pid="13" name="MSIP_Label_af49516a-7525-4936-8880-b1dc1e580865_ContentBits">
    <vt:lpwstr>0</vt:lpwstr>
  </property>
  <property fmtid="{D5CDD505-2E9C-101B-9397-08002B2CF9AE}" pid="14" name="MSIP_Label_8f0b5d98-aa4b-42ad-b5be-1e75bbcbb7d7_Enabled">
    <vt:lpwstr>true</vt:lpwstr>
  </property>
  <property fmtid="{D5CDD505-2E9C-101B-9397-08002B2CF9AE}" pid="15" name="MSIP_Label_8f0b5d98-aa4b-42ad-b5be-1e75bbcbb7d7_SetDate">
    <vt:lpwstr>2025-06-01T18:21:50Z</vt:lpwstr>
  </property>
  <property fmtid="{D5CDD505-2E9C-101B-9397-08002B2CF9AE}" pid="16" name="MSIP_Label_8f0b5d98-aa4b-42ad-b5be-1e75bbcbb7d7_Method">
    <vt:lpwstr>Standard</vt:lpwstr>
  </property>
  <property fmtid="{D5CDD505-2E9C-101B-9397-08002B2CF9AE}" pid="17" name="MSIP_Label_8f0b5d98-aa4b-42ad-b5be-1e75bbcbb7d7_Name">
    <vt:lpwstr>Internal-pilot</vt:lpwstr>
  </property>
  <property fmtid="{D5CDD505-2E9C-101B-9397-08002B2CF9AE}" pid="18" name="MSIP_Label_8f0b5d98-aa4b-42ad-b5be-1e75bbcbb7d7_SiteId">
    <vt:lpwstr>a651e8f0-93d2-41c2-88b6-e8c5a1ad2375</vt:lpwstr>
  </property>
  <property fmtid="{D5CDD505-2E9C-101B-9397-08002B2CF9AE}" pid="19" name="MSIP_Label_8f0b5d98-aa4b-42ad-b5be-1e75bbcbb7d7_ActionId">
    <vt:lpwstr>8fbd8cf3-5f80-41db-bb55-d13440e2c2c6</vt:lpwstr>
  </property>
  <property fmtid="{D5CDD505-2E9C-101B-9397-08002B2CF9AE}" pid="20" name="MSIP_Label_8f0b5d98-aa4b-42ad-b5be-1e75bbcbb7d7_ContentBits">
    <vt:lpwstr>0</vt:lpwstr>
  </property>
  <property fmtid="{D5CDD505-2E9C-101B-9397-08002B2CF9AE}" pid="21" name="MSIP_Label_8f0b5d98-aa4b-42ad-b5be-1e75bbcbb7d7_Tag">
    <vt:lpwstr>10, 3, 0, 1</vt:lpwstr>
  </property>
</Properties>
</file>