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9.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652" documentId="11_F25DC773A252ABDACC1048E089DE79AE5ADE58ED" xr6:coauthVersionLast="47" xr6:coauthVersionMax="47" xr10:uidLastSave="{86B84C80-7619-4E74-98BC-0AFB23A5871F}"/>
  <bookViews>
    <workbookView xWindow="28680" yWindow="-120" windowWidth="38640" windowHeight="21120" xr2:uid="{00000000-000D-0000-FFFF-FFFF00000000}"/>
  </bookViews>
  <sheets>
    <sheet name="Cover " sheetId="52" r:id="rId1"/>
    <sheet name="Q1 LO 1b RET201-103-25" sheetId="38" r:id="rId2"/>
    <sheet name="A1" sheetId="39" r:id="rId3"/>
    <sheet name="Q3 DA-136 Ret Q" sheetId="42" r:id="rId4"/>
    <sheet name="A3" sheetId="43" r:id="rId5"/>
    <sheet name="Q4 LO 2d Cred Edu Res" sheetId="44" r:id="rId6"/>
    <sheet name="A4" sheetId="45" r:id="rId7"/>
    <sheet name="Q5 LO 3a RET201-109-25" sheetId="46" r:id="rId8"/>
    <sheet name="A5" sheetId="47" r:id="rId9"/>
    <sheet name="Q6 LO 3a RET 201-112-25" sheetId="48" r:id="rId10"/>
    <sheet name="A6" sheetId="49" r:id="rId11"/>
    <sheet name="Q7 LO4d RET201-115-25" sheetId="50" r:id="rId12"/>
    <sheet name="A7" sheetId="51" r:id="rId13"/>
  </sheets>
  <externalReferences>
    <externalReference r:id="rId14"/>
    <externalReference r:id="rId15"/>
  </externalReferences>
  <definedNames>
    <definedName name="Allocations">#REF!</definedName>
    <definedName name="Non_Fac">'[1]User Input'!$C$74</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1" l="1"/>
  <c r="G9" i="51"/>
  <c r="C10" i="51"/>
  <c r="W59" i="51" s="1"/>
  <c r="X59" i="51" s="1"/>
  <c r="Y59" i="51" s="1"/>
  <c r="Z59" i="51" s="1"/>
  <c r="AA59" i="51" s="1"/>
  <c r="G10" i="51"/>
  <c r="G11" i="51"/>
  <c r="W11" i="51"/>
  <c r="X11" i="51"/>
  <c r="Y11" i="51"/>
  <c r="Y12" i="51" s="1"/>
  <c r="Y16" i="51" s="1"/>
  <c r="Z11" i="51"/>
  <c r="Z12" i="51" s="1"/>
  <c r="Z16" i="51" s="1"/>
  <c r="AA11" i="51"/>
  <c r="AA12" i="51" s="1"/>
  <c r="AH12" i="51"/>
  <c r="AH16" i="51" s="1"/>
  <c r="AI12" i="51"/>
  <c r="AI16" i="51" s="1"/>
  <c r="AJ12" i="51"/>
  <c r="AJ16" i="51" s="1"/>
  <c r="AK12" i="51"/>
  <c r="AK16" i="51" s="1"/>
  <c r="AL12" i="51"/>
  <c r="AL16" i="51" s="1"/>
  <c r="C13" i="51"/>
  <c r="AT174" i="51" s="1"/>
  <c r="G13" i="51"/>
  <c r="G14" i="51"/>
  <c r="C15" i="51"/>
  <c r="Z41" i="51" s="1"/>
  <c r="G15" i="51"/>
  <c r="G16" i="51"/>
  <c r="G17" i="51"/>
  <c r="AR18" i="51"/>
  <c r="AS18" i="51"/>
  <c r="AT18" i="51"/>
  <c r="AU18" i="51"/>
  <c r="AV18" i="51"/>
  <c r="AW18" i="51"/>
  <c r="AH21" i="51"/>
  <c r="AI21" i="51" s="1"/>
  <c r="AJ21" i="51" s="1"/>
  <c r="AK21" i="51" s="1"/>
  <c r="AL21" i="51" s="1"/>
  <c r="W22" i="51"/>
  <c r="Y22" i="51"/>
  <c r="AA22" i="51"/>
  <c r="AH22" i="51"/>
  <c r="AJ22" i="51"/>
  <c r="AL22" i="51"/>
  <c r="AS22" i="51"/>
  <c r="AU22" i="51"/>
  <c r="AW22" i="51"/>
  <c r="V24" i="51"/>
  <c r="AG24" i="51"/>
  <c r="AH24" i="51" s="1"/>
  <c r="AR24" i="51"/>
  <c r="V25" i="51"/>
  <c r="AG25" i="51"/>
  <c r="AR25" i="51"/>
  <c r="W30" i="51"/>
  <c r="W31" i="51" s="1"/>
  <c r="W35" i="51" s="1"/>
  <c r="X30" i="51"/>
  <c r="X31" i="51" s="1"/>
  <c r="X35" i="51" s="1"/>
  <c r="Y30" i="51"/>
  <c r="Z30" i="51"/>
  <c r="Z31" i="51" s="1"/>
  <c r="Z35" i="51" s="1"/>
  <c r="AA30" i="51"/>
  <c r="AA31" i="51" s="1"/>
  <c r="AA35" i="51" s="1"/>
  <c r="AH31" i="51"/>
  <c r="AH35" i="51" s="1"/>
  <c r="AI31" i="51"/>
  <c r="AI35" i="51" s="1"/>
  <c r="AJ31" i="51"/>
  <c r="AJ35" i="51" s="1"/>
  <c r="AK31" i="51"/>
  <c r="AK35" i="51" s="1"/>
  <c r="AL31" i="51"/>
  <c r="AL35" i="51"/>
  <c r="AR37" i="51"/>
  <c r="AS37" i="51"/>
  <c r="AT37" i="51"/>
  <c r="AU37" i="51"/>
  <c r="AV37" i="51"/>
  <c r="AW37" i="51"/>
  <c r="AS40" i="51"/>
  <c r="W41" i="51"/>
  <c r="Y41" i="51"/>
  <c r="AA41" i="51"/>
  <c r="AH41" i="51"/>
  <c r="AJ41" i="51"/>
  <c r="AL41" i="51"/>
  <c r="AS41" i="51"/>
  <c r="AU41" i="51"/>
  <c r="AW41" i="51"/>
  <c r="V43" i="51"/>
  <c r="AG43" i="51"/>
  <c r="AR43" i="51"/>
  <c r="V44" i="51"/>
  <c r="AG44" i="51"/>
  <c r="AR44" i="51"/>
  <c r="W49" i="51"/>
  <c r="W50" i="51" s="1"/>
  <c r="W54" i="51" s="1"/>
  <c r="X49" i="51"/>
  <c r="Y49" i="51"/>
  <c r="Z49" i="51"/>
  <c r="AA49" i="51"/>
  <c r="AA50" i="51" s="1"/>
  <c r="AA54" i="51" s="1"/>
  <c r="AH50" i="51"/>
  <c r="AH54" i="51" s="1"/>
  <c r="AI50" i="51"/>
  <c r="AI54" i="51" s="1"/>
  <c r="AJ50" i="51"/>
  <c r="AJ54" i="51" s="1"/>
  <c r="AK50" i="51"/>
  <c r="AK54" i="51" s="1"/>
  <c r="AL50" i="51"/>
  <c r="AL54" i="51" s="1"/>
  <c r="AR56" i="51"/>
  <c r="AS56" i="51"/>
  <c r="AT56" i="51"/>
  <c r="AU56" i="51"/>
  <c r="AV56" i="51"/>
  <c r="AW56" i="51"/>
  <c r="W60" i="51"/>
  <c r="Y60" i="51"/>
  <c r="AA60" i="51"/>
  <c r="AH60" i="51"/>
  <c r="AJ60" i="51"/>
  <c r="AL60" i="51"/>
  <c r="AS60" i="51"/>
  <c r="AU60" i="51"/>
  <c r="AV60" i="51"/>
  <c r="AW60" i="51"/>
  <c r="V62" i="51"/>
  <c r="AG62" i="51"/>
  <c r="AR62" i="51"/>
  <c r="V63" i="51"/>
  <c r="AG63" i="51"/>
  <c r="AR63" i="51"/>
  <c r="W68" i="51"/>
  <c r="W69" i="51" s="1"/>
  <c r="X68" i="51"/>
  <c r="X69" i="51" s="1"/>
  <c r="Y68" i="51"/>
  <c r="Y69" i="51" s="1"/>
  <c r="Z68" i="51"/>
  <c r="Z69" i="51" s="1"/>
  <c r="AA68" i="51"/>
  <c r="AH69" i="51"/>
  <c r="AH73" i="51" s="1"/>
  <c r="AI69" i="51"/>
  <c r="AI73" i="51" s="1"/>
  <c r="AJ69" i="51"/>
  <c r="AJ73" i="51" s="1"/>
  <c r="AK69" i="51"/>
  <c r="AK73" i="51" s="1"/>
  <c r="AL69" i="51"/>
  <c r="AL73" i="51" s="1"/>
  <c r="AR75" i="51"/>
  <c r="AS75" i="51"/>
  <c r="AT75" i="51"/>
  <c r="AU75" i="51"/>
  <c r="AV75" i="51"/>
  <c r="AW75" i="51"/>
  <c r="W79" i="51"/>
  <c r="Y79" i="51"/>
  <c r="AA79" i="51"/>
  <c r="AH79" i="51"/>
  <c r="AJ79" i="51"/>
  <c r="AL79" i="51"/>
  <c r="AS79" i="51"/>
  <c r="AU79" i="51"/>
  <c r="AV79" i="51"/>
  <c r="AW79" i="51"/>
  <c r="V81" i="51"/>
  <c r="AG81" i="51"/>
  <c r="AR81" i="51"/>
  <c r="V82" i="51"/>
  <c r="AG82" i="51"/>
  <c r="AR82" i="51"/>
  <c r="W87" i="51"/>
  <c r="X87" i="51"/>
  <c r="Y87" i="51"/>
  <c r="Y88" i="51" s="1"/>
  <c r="Y92" i="51" s="1"/>
  <c r="Z87" i="51"/>
  <c r="Z88" i="51" s="1"/>
  <c r="Z92" i="51" s="1"/>
  <c r="AA87" i="51"/>
  <c r="AA88" i="51" s="1"/>
  <c r="AA92" i="51" s="1"/>
  <c r="AH88" i="51"/>
  <c r="AH92" i="51" s="1"/>
  <c r="AI88" i="51"/>
  <c r="AI92" i="51" s="1"/>
  <c r="AJ88" i="51"/>
  <c r="AJ92" i="51" s="1"/>
  <c r="AK88" i="51"/>
  <c r="AK92" i="51" s="1"/>
  <c r="AL88" i="51"/>
  <c r="AL92" i="51" s="1"/>
  <c r="AR94" i="51"/>
  <c r="AS94" i="51"/>
  <c r="AT94" i="51"/>
  <c r="AU94" i="51"/>
  <c r="AV94" i="51"/>
  <c r="AW94" i="51"/>
  <c r="AH97" i="51"/>
  <c r="AI97" i="51" s="1"/>
  <c r="AJ97" i="51" s="1"/>
  <c r="AK97" i="51" s="1"/>
  <c r="AL97" i="51" s="1"/>
  <c r="W98" i="51"/>
  <c r="Y98" i="51"/>
  <c r="AA98" i="51"/>
  <c r="AH98" i="51"/>
  <c r="AJ98" i="51"/>
  <c r="AL98" i="51"/>
  <c r="AS98" i="51"/>
  <c r="AU98" i="51"/>
  <c r="AW98" i="51"/>
  <c r="V100" i="51"/>
  <c r="W100" i="51" s="1"/>
  <c r="AG100" i="51"/>
  <c r="AR100" i="51"/>
  <c r="V101" i="51"/>
  <c r="AG101" i="51"/>
  <c r="AR101" i="51"/>
  <c r="W106" i="51"/>
  <c r="X106" i="51"/>
  <c r="X107" i="51" s="1"/>
  <c r="Y106" i="51"/>
  <c r="Y107" i="51" s="1"/>
  <c r="Z106" i="51"/>
  <c r="Z107" i="51" s="1"/>
  <c r="Z111" i="51" s="1"/>
  <c r="AA106" i="51"/>
  <c r="AA107" i="51" s="1"/>
  <c r="AA111" i="51" s="1"/>
  <c r="AH107" i="51"/>
  <c r="AH111" i="51" s="1"/>
  <c r="AI107" i="51"/>
  <c r="AI111" i="51" s="1"/>
  <c r="AJ107" i="51"/>
  <c r="AJ111" i="51" s="1"/>
  <c r="AK107" i="51"/>
  <c r="AK111" i="51" s="1"/>
  <c r="AL107" i="51"/>
  <c r="AL111" i="51" s="1"/>
  <c r="AR113" i="51"/>
  <c r="AS113" i="51"/>
  <c r="AT113" i="51"/>
  <c r="AU113" i="51"/>
  <c r="AV113" i="51"/>
  <c r="AW113" i="51"/>
  <c r="AS116" i="51"/>
  <c r="AT116" i="51" s="1"/>
  <c r="AU116" i="51" s="1"/>
  <c r="AV116" i="51" s="1"/>
  <c r="AW116" i="51" s="1"/>
  <c r="W117" i="51"/>
  <c r="Y117" i="51"/>
  <c r="AA117" i="51"/>
  <c r="AH117" i="51"/>
  <c r="AJ117" i="51"/>
  <c r="AL117" i="51"/>
  <c r="AS117" i="51"/>
  <c r="AU117" i="51"/>
  <c r="AW117" i="51"/>
  <c r="V119" i="51"/>
  <c r="AG119" i="51"/>
  <c r="AR119" i="51"/>
  <c r="V120" i="51"/>
  <c r="AG120" i="51"/>
  <c r="AR120" i="51"/>
  <c r="W125" i="51"/>
  <c r="W126" i="51" s="1"/>
  <c r="W130" i="51" s="1"/>
  <c r="X125" i="51"/>
  <c r="X126" i="51" s="1"/>
  <c r="X130" i="51" s="1"/>
  <c r="Y125" i="51"/>
  <c r="Y126" i="51" s="1"/>
  <c r="Y130" i="51" s="1"/>
  <c r="Z125" i="51"/>
  <c r="Z126" i="51" s="1"/>
  <c r="AA125" i="51"/>
  <c r="AH126" i="51"/>
  <c r="AH130" i="51" s="1"/>
  <c r="AI126" i="51"/>
  <c r="AI130" i="51" s="1"/>
  <c r="AJ126" i="51"/>
  <c r="AJ130" i="51" s="1"/>
  <c r="AK126" i="51"/>
  <c r="AK130" i="51" s="1"/>
  <c r="AL126" i="51"/>
  <c r="AL130" i="51" s="1"/>
  <c r="AR132" i="51"/>
  <c r="AS132" i="51"/>
  <c r="AT132" i="51"/>
  <c r="AU132" i="51"/>
  <c r="AV132" i="51"/>
  <c r="AW132" i="51"/>
  <c r="W135" i="51"/>
  <c r="X135" i="51" s="1"/>
  <c r="Y135" i="51" s="1"/>
  <c r="Z135" i="51" s="1"/>
  <c r="AA135" i="51" s="1"/>
  <c r="W136" i="51"/>
  <c r="X136" i="51"/>
  <c r="Y136" i="51"/>
  <c r="AA136" i="51"/>
  <c r="AH136" i="51"/>
  <c r="AJ136" i="51"/>
  <c r="AL136" i="51"/>
  <c r="AS136" i="51"/>
  <c r="AU136" i="51"/>
  <c r="AW136" i="51"/>
  <c r="V138" i="51"/>
  <c r="AG138" i="51"/>
  <c r="AR138" i="51"/>
  <c r="V139" i="51"/>
  <c r="V140" i="51" s="1"/>
  <c r="AG139" i="51"/>
  <c r="AR139" i="51"/>
  <c r="W144" i="51"/>
  <c r="W145" i="51" s="1"/>
  <c r="X144" i="51"/>
  <c r="X145" i="51" s="1"/>
  <c r="Y144" i="51"/>
  <c r="Y145" i="51" s="1"/>
  <c r="Y149" i="51" s="1"/>
  <c r="Z144" i="51"/>
  <c r="Z145" i="51" s="1"/>
  <c r="AA144" i="51"/>
  <c r="AA145" i="51" s="1"/>
  <c r="AH145" i="51"/>
  <c r="AH149" i="51" s="1"/>
  <c r="AI145" i="51"/>
  <c r="AJ145" i="51"/>
  <c r="AJ149" i="51" s="1"/>
  <c r="AK145" i="51"/>
  <c r="AK149" i="51" s="1"/>
  <c r="AL145" i="51"/>
  <c r="AL149" i="51" s="1"/>
  <c r="AI149" i="51"/>
  <c r="AR151" i="51"/>
  <c r="AS151" i="51"/>
  <c r="AT151" i="51"/>
  <c r="AU151" i="51"/>
  <c r="AV151" i="51"/>
  <c r="AW151" i="51"/>
  <c r="AS154" i="51"/>
  <c r="W155" i="51"/>
  <c r="Y155" i="51"/>
  <c r="AA155" i="51"/>
  <c r="AH155" i="51"/>
  <c r="AJ155" i="51"/>
  <c r="AL155" i="51"/>
  <c r="AS155" i="51"/>
  <c r="AU155" i="51"/>
  <c r="AW155" i="51"/>
  <c r="V157" i="51"/>
  <c r="AG157" i="51"/>
  <c r="AR157" i="51"/>
  <c r="V158" i="51"/>
  <c r="AG158" i="51"/>
  <c r="AR158" i="51"/>
  <c r="W163" i="51"/>
  <c r="W164" i="51" s="1"/>
  <c r="X163" i="51"/>
  <c r="X164" i="51" s="1"/>
  <c r="Y163" i="51"/>
  <c r="Y164" i="51" s="1"/>
  <c r="Y168" i="51" s="1"/>
  <c r="Z163" i="51"/>
  <c r="AA163" i="51"/>
  <c r="AA164" i="51" s="1"/>
  <c r="AH164" i="51"/>
  <c r="AH168" i="51" s="1"/>
  <c r="AI164" i="51"/>
  <c r="AI168" i="51" s="1"/>
  <c r="AJ164" i="51"/>
  <c r="AJ168" i="51" s="1"/>
  <c r="AK164" i="51"/>
  <c r="AK168" i="51" s="1"/>
  <c r="AL164" i="51"/>
  <c r="AL168" i="51" s="1"/>
  <c r="AR170" i="51"/>
  <c r="AS170" i="51"/>
  <c r="AT170" i="51"/>
  <c r="AU170" i="51"/>
  <c r="AV170" i="51"/>
  <c r="AW170" i="51"/>
  <c r="AH173" i="51"/>
  <c r="AI173" i="51" s="1"/>
  <c r="AJ173" i="51" s="1"/>
  <c r="AK173" i="51" s="1"/>
  <c r="W174" i="51"/>
  <c r="Y174" i="51"/>
  <c r="AA174" i="51"/>
  <c r="AH174" i="51"/>
  <c r="AJ174" i="51"/>
  <c r="AL174" i="51"/>
  <c r="AS174" i="51"/>
  <c r="AU174" i="51"/>
  <c r="AW174" i="51"/>
  <c r="V176" i="51"/>
  <c r="W176" i="51" s="1"/>
  <c r="AG176" i="51"/>
  <c r="AR176" i="51"/>
  <c r="V177" i="51"/>
  <c r="AG177" i="51"/>
  <c r="AR177" i="51"/>
  <c r="AR178" i="51" s="1"/>
  <c r="AS163" i="51" s="1"/>
  <c r="AS164" i="51" s="1"/>
  <c r="W182" i="51"/>
  <c r="W183" i="51" s="1"/>
  <c r="W187" i="51" s="1"/>
  <c r="X182" i="51"/>
  <c r="X183" i="51" s="1"/>
  <c r="Y182" i="51"/>
  <c r="Y183" i="51" s="1"/>
  <c r="Z182" i="51"/>
  <c r="Z183" i="51" s="1"/>
  <c r="Z187" i="51" s="1"/>
  <c r="AA182" i="51"/>
  <c r="AH183" i="51"/>
  <c r="AH187" i="51" s="1"/>
  <c r="AI183" i="51"/>
  <c r="AI187" i="51" s="1"/>
  <c r="AJ183" i="51"/>
  <c r="AJ187" i="51" s="1"/>
  <c r="AK183" i="51"/>
  <c r="AK187" i="51" s="1"/>
  <c r="AL183" i="51"/>
  <c r="AL187" i="51" s="1"/>
  <c r="AR189" i="51"/>
  <c r="AS189" i="51"/>
  <c r="AT189" i="51"/>
  <c r="AU189" i="51"/>
  <c r="AV189" i="51"/>
  <c r="AW189" i="51"/>
  <c r="AH192" i="51"/>
  <c r="AI192" i="51" s="1"/>
  <c r="AJ192" i="51" s="1"/>
  <c r="AK192" i="51" s="1"/>
  <c r="AL192" i="51" s="1"/>
  <c r="W193" i="51"/>
  <c r="Y193" i="51"/>
  <c r="AA193" i="51"/>
  <c r="AH193" i="51"/>
  <c r="AJ193" i="51"/>
  <c r="AK193" i="51"/>
  <c r="AL193" i="51"/>
  <c r="AS193" i="51"/>
  <c r="AS195" i="51" s="1"/>
  <c r="AU193" i="51"/>
  <c r="AW193" i="51"/>
  <c r="V195" i="51"/>
  <c r="AG195" i="51"/>
  <c r="AR195" i="51"/>
  <c r="V196" i="51"/>
  <c r="AG196" i="51"/>
  <c r="AG197" i="51" s="1"/>
  <c r="AR196" i="51"/>
  <c r="AR197" i="51" s="1"/>
  <c r="AS182" i="51" s="1"/>
  <c r="W8" i="50"/>
  <c r="W9" i="50"/>
  <c r="S10" i="50"/>
  <c r="E45" i="50" s="1"/>
  <c r="F45" i="50" s="1"/>
  <c r="G45" i="50" s="1"/>
  <c r="H45" i="50" s="1"/>
  <c r="I45" i="50" s="1"/>
  <c r="W10" i="50"/>
  <c r="W11" i="50"/>
  <c r="S13" i="50"/>
  <c r="F46" i="50" s="1"/>
  <c r="W13" i="50"/>
  <c r="W14" i="50"/>
  <c r="S15" i="50"/>
  <c r="H46" i="50" s="1"/>
  <c r="W15" i="50"/>
  <c r="W16" i="50"/>
  <c r="W17" i="50"/>
  <c r="E35" i="50"/>
  <c r="E40" i="50" s="1"/>
  <c r="F35" i="50"/>
  <c r="G35" i="50"/>
  <c r="G36" i="50" s="1"/>
  <c r="H35" i="50"/>
  <c r="H36" i="50" s="1"/>
  <c r="I35" i="50"/>
  <c r="I36" i="50" s="1"/>
  <c r="E36" i="50"/>
  <c r="E46" i="50"/>
  <c r="G46" i="50"/>
  <c r="I46" i="50"/>
  <c r="D48" i="50"/>
  <c r="D49" i="50"/>
  <c r="D50" i="50" s="1"/>
  <c r="S24" i="49"/>
  <c r="M24" i="49"/>
  <c r="R16" i="49"/>
  <c r="L16" i="49"/>
  <c r="S15" i="49"/>
  <c r="T15" i="49" s="1"/>
  <c r="O15" i="49"/>
  <c r="M15" i="49"/>
  <c r="N15" i="49" s="1"/>
  <c r="S14" i="49"/>
  <c r="M14" i="49"/>
  <c r="O14" i="49" s="1"/>
  <c r="S11" i="49"/>
  <c r="R11" i="49"/>
  <c r="M11" i="49"/>
  <c r="L11" i="49"/>
  <c r="L18" i="49" s="1"/>
  <c r="T10" i="49"/>
  <c r="O10" i="49"/>
  <c r="O24" i="49" s="1"/>
  <c r="N10" i="49"/>
  <c r="P10" i="49" s="1"/>
  <c r="T9" i="49"/>
  <c r="T11" i="49" s="1"/>
  <c r="O9" i="49"/>
  <c r="P9" i="49" s="1"/>
  <c r="N9" i="49"/>
  <c r="L15" i="48"/>
  <c r="M10" i="48"/>
  <c r="L10" i="48"/>
  <c r="N9" i="48"/>
  <c r="N8" i="48"/>
  <c r="N10" i="48" s="1"/>
  <c r="N7" i="48"/>
  <c r="AH24" i="47"/>
  <c r="AD24" i="47"/>
  <c r="Z24" i="47"/>
  <c r="V24" i="47"/>
  <c r="R24" i="47"/>
  <c r="N24" i="47"/>
  <c r="J24" i="47"/>
  <c r="AC22" i="47"/>
  <c r="AE22" i="47" s="1"/>
  <c r="I22" i="47"/>
  <c r="K22" i="47" s="1"/>
  <c r="AG20" i="47"/>
  <c r="AG22" i="47" s="1"/>
  <c r="AI22" i="47" s="1"/>
  <c r="AC20" i="47"/>
  <c r="Y20" i="47"/>
  <c r="Y22" i="47" s="1"/>
  <c r="AA22" i="47" s="1"/>
  <c r="U20" i="47"/>
  <c r="U22" i="47" s="1"/>
  <c r="W22" i="47" s="1"/>
  <c r="Q20" i="47"/>
  <c r="Q22" i="47" s="1"/>
  <c r="S22" i="47" s="1"/>
  <c r="M20" i="47"/>
  <c r="M22" i="47" s="1"/>
  <c r="O22" i="47" s="1"/>
  <c r="I20" i="47"/>
  <c r="E20" i="47"/>
  <c r="E22" i="47" s="1"/>
  <c r="G22" i="47" s="1"/>
  <c r="AI19" i="47"/>
  <c r="AE19" i="47"/>
  <c r="AA19" i="47"/>
  <c r="W19" i="47"/>
  <c r="S19" i="47"/>
  <c r="O19" i="47"/>
  <c r="K19" i="47"/>
  <c r="AI18" i="47"/>
  <c r="AI20" i="47" s="1"/>
  <c r="AE18" i="47"/>
  <c r="AA18" i="47"/>
  <c r="W18" i="47"/>
  <c r="S18" i="47"/>
  <c r="O18" i="47"/>
  <c r="K18" i="47"/>
  <c r="AI17" i="47"/>
  <c r="AE17" i="47"/>
  <c r="AA17" i="47"/>
  <c r="W17" i="47"/>
  <c r="S17" i="47"/>
  <c r="S20" i="47" s="1"/>
  <c r="O17" i="47"/>
  <c r="K17" i="47"/>
  <c r="K20" i="47" s="1"/>
  <c r="AI14" i="47"/>
  <c r="AH14" i="47" s="1"/>
  <c r="AE14" i="47"/>
  <c r="AD14" i="47" s="1"/>
  <c r="AA14" i="47"/>
  <c r="Z14" i="47" s="1"/>
  <c r="W14" i="47"/>
  <c r="V14" i="47" s="1"/>
  <c r="S14" i="47"/>
  <c r="R14" i="47" s="1"/>
  <c r="O14" i="47"/>
  <c r="N14" i="47" s="1"/>
  <c r="K14" i="47"/>
  <c r="J14" i="47" s="1"/>
  <c r="F14" i="47"/>
  <c r="S10" i="47"/>
  <c r="O10" i="47"/>
  <c r="AR23" i="46"/>
  <c r="AN23" i="46"/>
  <c r="AJ23" i="46"/>
  <c r="AF23" i="46"/>
  <c r="AB23" i="46"/>
  <c r="X23" i="46"/>
  <c r="T23" i="46"/>
  <c r="W21" i="46"/>
  <c r="O21" i="46"/>
  <c r="Q21" i="46" s="1"/>
  <c r="AQ19" i="46"/>
  <c r="AQ21" i="46" s="1"/>
  <c r="AM19" i="46"/>
  <c r="AM21" i="46" s="1"/>
  <c r="AI19" i="46"/>
  <c r="AI21" i="46" s="1"/>
  <c r="AE19" i="46"/>
  <c r="AE21" i="46" s="1"/>
  <c r="AA19" i="46"/>
  <c r="AA21" i="46" s="1"/>
  <c r="W19" i="46"/>
  <c r="S19" i="46"/>
  <c r="S21" i="46" s="1"/>
  <c r="O19" i="46"/>
  <c r="AS13" i="46"/>
  <c r="AR13" i="46"/>
  <c r="AO13" i="46"/>
  <c r="AN13" i="46"/>
  <c r="AK13" i="46"/>
  <c r="AJ13" i="46" s="1"/>
  <c r="AG13" i="46"/>
  <c r="AF13" i="46"/>
  <c r="AC13" i="46"/>
  <c r="AB13" i="46" s="1"/>
  <c r="Y13" i="46"/>
  <c r="X13" i="46"/>
  <c r="U13" i="46"/>
  <c r="T13" i="46" s="1"/>
  <c r="P13" i="46"/>
  <c r="AC9" i="46"/>
  <c r="Y9" i="46"/>
  <c r="G30" i="45"/>
  <c r="J30" i="45"/>
  <c r="L30" i="45"/>
  <c r="AS30" i="45"/>
  <c r="BB30" i="45" s="1"/>
  <c r="AT30" i="45"/>
  <c r="AW30" i="45"/>
  <c r="AX30" i="45"/>
  <c r="AY30" i="45"/>
  <c r="AZ30" i="45"/>
  <c r="BA30" i="45"/>
  <c r="G31" i="45"/>
  <c r="J31" i="45"/>
  <c r="L31" i="45" s="1"/>
  <c r="AS31" i="45"/>
  <c r="BB31" i="45" s="1"/>
  <c r="AT31" i="45"/>
  <c r="AW31" i="45"/>
  <c r="AX31" i="45"/>
  <c r="AY31" i="45"/>
  <c r="AZ31" i="45"/>
  <c r="BA31" i="45"/>
  <c r="G32" i="45"/>
  <c r="J32" i="45"/>
  <c r="L32" i="45"/>
  <c r="AS32" i="45"/>
  <c r="BB32" i="45" s="1"/>
  <c r="AT32" i="45"/>
  <c r="AT75" i="45" s="1"/>
  <c r="AW32" i="45"/>
  <c r="AX32" i="45"/>
  <c r="AY32" i="45"/>
  <c r="AZ32" i="45"/>
  <c r="BA32" i="45"/>
  <c r="G33" i="45"/>
  <c r="J33" i="45"/>
  <c r="L33" i="45" s="1"/>
  <c r="AS33" i="45"/>
  <c r="BB33" i="45" s="1"/>
  <c r="AT33" i="45"/>
  <c r="AW33" i="45"/>
  <c r="AX33" i="45"/>
  <c r="AY33" i="45"/>
  <c r="AZ33" i="45"/>
  <c r="BA33" i="45"/>
  <c r="G34" i="45"/>
  <c r="J34" i="45"/>
  <c r="L34" i="45"/>
  <c r="AS34" i="45"/>
  <c r="BB34" i="45" s="1"/>
  <c r="AT34" i="45"/>
  <c r="AW34" i="45"/>
  <c r="AX34" i="45"/>
  <c r="AY34" i="45"/>
  <c r="AZ34" i="45"/>
  <c r="BA34" i="45"/>
  <c r="G35" i="45"/>
  <c r="J35" i="45"/>
  <c r="L35" i="45" s="1"/>
  <c r="AS35" i="45"/>
  <c r="BB35" i="45" s="1"/>
  <c r="AT35" i="45"/>
  <c r="AW35" i="45"/>
  <c r="AX35" i="45"/>
  <c r="AY35" i="45"/>
  <c r="AZ35" i="45"/>
  <c r="BA35" i="45"/>
  <c r="G36" i="45"/>
  <c r="J36" i="45"/>
  <c r="L36" i="45" s="1"/>
  <c r="AS36" i="45"/>
  <c r="BB36" i="45" s="1"/>
  <c r="AT36" i="45"/>
  <c r="AW36" i="45"/>
  <c r="AX36" i="45"/>
  <c r="AY36" i="45"/>
  <c r="AZ36" i="45"/>
  <c r="BA36" i="45"/>
  <c r="G37" i="45"/>
  <c r="J37" i="45"/>
  <c r="L37" i="45"/>
  <c r="AS37" i="45"/>
  <c r="AT37" i="45"/>
  <c r="AW37" i="45"/>
  <c r="AX37" i="45"/>
  <c r="AY37" i="45"/>
  <c r="AZ37" i="45"/>
  <c r="BA37" i="45"/>
  <c r="BB37" i="45"/>
  <c r="G38" i="45"/>
  <c r="J38" i="45"/>
  <c r="L38" i="45"/>
  <c r="AS38" i="45"/>
  <c r="BB38" i="45" s="1"/>
  <c r="AT38" i="45"/>
  <c r="AW38" i="45"/>
  <c r="AX38" i="45"/>
  <c r="AY38" i="45"/>
  <c r="AZ38" i="45"/>
  <c r="BA38" i="45"/>
  <c r="G39" i="45"/>
  <c r="J39" i="45"/>
  <c r="L39" i="45" s="1"/>
  <c r="AS39" i="45"/>
  <c r="BB39" i="45" s="1"/>
  <c r="AT39" i="45"/>
  <c r="AW39" i="45"/>
  <c r="AX39" i="45"/>
  <c r="AY39" i="45"/>
  <c r="AZ39" i="45"/>
  <c r="BA39" i="45"/>
  <c r="G40" i="45"/>
  <c r="J40" i="45"/>
  <c r="L40" i="45" s="1"/>
  <c r="AS40" i="45"/>
  <c r="BB40" i="45" s="1"/>
  <c r="AT40" i="45"/>
  <c r="AW40" i="45"/>
  <c r="AX40" i="45"/>
  <c r="AY40" i="45"/>
  <c r="AZ40" i="45"/>
  <c r="BA40" i="45"/>
  <c r="G41" i="45"/>
  <c r="J41" i="45"/>
  <c r="L41" i="45"/>
  <c r="AS41" i="45"/>
  <c r="BB41" i="45" s="1"/>
  <c r="AT41" i="45"/>
  <c r="AW41" i="45"/>
  <c r="AX41" i="45"/>
  <c r="AY41" i="45"/>
  <c r="AZ41" i="45"/>
  <c r="BA41" i="45"/>
  <c r="G42" i="45"/>
  <c r="J42" i="45"/>
  <c r="L42" i="45" s="1"/>
  <c r="AS42" i="45"/>
  <c r="BB42" i="45" s="1"/>
  <c r="AT42" i="45"/>
  <c r="AW42" i="45"/>
  <c r="AX42" i="45"/>
  <c r="AY42" i="45"/>
  <c r="AZ42" i="45"/>
  <c r="BA42" i="45"/>
  <c r="G43" i="45"/>
  <c r="J43" i="45"/>
  <c r="L43" i="45"/>
  <c r="AS43" i="45"/>
  <c r="BB43" i="45" s="1"/>
  <c r="AT43" i="45"/>
  <c r="AW43" i="45"/>
  <c r="AX43" i="45"/>
  <c r="AY43" i="45"/>
  <c r="AZ43" i="45"/>
  <c r="BA43" i="45"/>
  <c r="G44" i="45"/>
  <c r="J44" i="45"/>
  <c r="L44" i="45" s="1"/>
  <c r="AS44" i="45"/>
  <c r="BB44" i="45" s="1"/>
  <c r="AT44" i="45"/>
  <c r="AW44" i="45"/>
  <c r="AX44" i="45"/>
  <c r="AY44" i="45"/>
  <c r="AZ44" i="45"/>
  <c r="BA44" i="45"/>
  <c r="G45" i="45"/>
  <c r="J45" i="45"/>
  <c r="L45" i="45"/>
  <c r="AS45" i="45"/>
  <c r="BB45" i="45" s="1"/>
  <c r="AT45" i="45"/>
  <c r="AW45" i="45"/>
  <c r="AX45" i="45"/>
  <c r="AY45" i="45"/>
  <c r="AZ45" i="45"/>
  <c r="BA45" i="45"/>
  <c r="G46" i="45"/>
  <c r="J46" i="45"/>
  <c r="L46" i="45" s="1"/>
  <c r="AS46" i="45"/>
  <c r="BB46" i="45" s="1"/>
  <c r="AT46" i="45"/>
  <c r="AW46" i="45"/>
  <c r="AX46" i="45"/>
  <c r="AY46" i="45"/>
  <c r="AZ46" i="45"/>
  <c r="BA46" i="45"/>
  <c r="G47" i="45"/>
  <c r="J47" i="45"/>
  <c r="L47" i="45" s="1"/>
  <c r="AS47" i="45"/>
  <c r="BB47" i="45" s="1"/>
  <c r="AT47" i="45"/>
  <c r="AW47" i="45"/>
  <c r="AX47" i="45"/>
  <c r="AY47" i="45"/>
  <c r="AZ47" i="45"/>
  <c r="BA47" i="45"/>
  <c r="G48" i="45"/>
  <c r="J48" i="45"/>
  <c r="L48" i="45" s="1"/>
  <c r="AS48" i="45"/>
  <c r="BB48" i="45" s="1"/>
  <c r="AT48" i="45"/>
  <c r="AW48" i="45"/>
  <c r="AX48" i="45"/>
  <c r="AY48" i="45"/>
  <c r="AZ48" i="45"/>
  <c r="BA48" i="45"/>
  <c r="G49" i="45"/>
  <c r="J49" i="45"/>
  <c r="L49" i="45" s="1"/>
  <c r="AS49" i="45"/>
  <c r="AT49" i="45"/>
  <c r="AW49" i="45"/>
  <c r="AX49" i="45"/>
  <c r="AY49" i="45"/>
  <c r="AZ49" i="45"/>
  <c r="BA49" i="45"/>
  <c r="BB49" i="45"/>
  <c r="G50" i="45"/>
  <c r="J50" i="45"/>
  <c r="L50" i="45" s="1"/>
  <c r="AS50" i="45"/>
  <c r="BB50" i="45" s="1"/>
  <c r="AT50" i="45"/>
  <c r="AW50" i="45"/>
  <c r="AX50" i="45"/>
  <c r="AY50" i="45"/>
  <c r="AZ50" i="45"/>
  <c r="BA50" i="45"/>
  <c r="G51" i="45"/>
  <c r="J51" i="45"/>
  <c r="L51" i="45" s="1"/>
  <c r="AS51" i="45"/>
  <c r="BB51" i="45" s="1"/>
  <c r="AT51" i="45"/>
  <c r="AW51" i="45"/>
  <c r="AX51" i="45"/>
  <c r="AY51" i="45"/>
  <c r="AZ51" i="45"/>
  <c r="BA51" i="45"/>
  <c r="G52" i="45"/>
  <c r="J52" i="45"/>
  <c r="L52" i="45" s="1"/>
  <c r="AS52" i="45"/>
  <c r="BB52" i="45" s="1"/>
  <c r="AT52" i="45"/>
  <c r="AW52" i="45"/>
  <c r="AX52" i="45"/>
  <c r="AY52" i="45"/>
  <c r="AZ52" i="45"/>
  <c r="BA52" i="45"/>
  <c r="G53" i="45"/>
  <c r="J53" i="45"/>
  <c r="L53" i="45"/>
  <c r="AS53" i="45"/>
  <c r="AT53" i="45"/>
  <c r="AW53" i="45"/>
  <c r="AX53" i="45"/>
  <c r="AY53" i="45"/>
  <c r="AZ53" i="45"/>
  <c r="BA53" i="45"/>
  <c r="BB53" i="45"/>
  <c r="G54" i="45"/>
  <c r="J54" i="45"/>
  <c r="L54" i="45"/>
  <c r="AS54" i="45"/>
  <c r="BB54" i="45" s="1"/>
  <c r="AT54" i="45"/>
  <c r="AW54" i="45"/>
  <c r="AX54" i="45"/>
  <c r="AY54" i="45"/>
  <c r="AZ54" i="45"/>
  <c r="BA54" i="45"/>
  <c r="G55" i="45"/>
  <c r="J55" i="45"/>
  <c r="L55" i="45" s="1"/>
  <c r="AS55" i="45"/>
  <c r="BB55" i="45" s="1"/>
  <c r="AT55" i="45"/>
  <c r="AW55" i="45"/>
  <c r="AX55" i="45"/>
  <c r="AY55" i="45"/>
  <c r="AZ55" i="45"/>
  <c r="BA55" i="45"/>
  <c r="G56" i="45"/>
  <c r="J56" i="45"/>
  <c r="L56" i="45"/>
  <c r="AS56" i="45"/>
  <c r="BB56" i="45" s="1"/>
  <c r="AT56" i="45"/>
  <c r="AW56" i="45"/>
  <c r="AX56" i="45"/>
  <c r="AY56" i="45"/>
  <c r="AZ56" i="45"/>
  <c r="BA56" i="45"/>
  <c r="G57" i="45"/>
  <c r="J57" i="45"/>
  <c r="L57" i="45" s="1"/>
  <c r="AS57" i="45"/>
  <c r="BB57" i="45" s="1"/>
  <c r="AT57" i="45"/>
  <c r="AW57" i="45"/>
  <c r="AX57" i="45"/>
  <c r="AY57" i="45"/>
  <c r="AZ57" i="45"/>
  <c r="BA57" i="45"/>
  <c r="G58" i="45"/>
  <c r="J58" i="45"/>
  <c r="L58" i="45"/>
  <c r="AS58" i="45"/>
  <c r="BB58" i="45" s="1"/>
  <c r="AT58" i="45"/>
  <c r="AW58" i="45"/>
  <c r="AX58" i="45"/>
  <c r="AY58" i="45"/>
  <c r="AZ58" i="45"/>
  <c r="BA58" i="45"/>
  <c r="G59" i="45"/>
  <c r="J59" i="45"/>
  <c r="L59" i="45" s="1"/>
  <c r="AS59" i="45"/>
  <c r="BB59" i="45" s="1"/>
  <c r="AT59" i="45"/>
  <c r="AW59" i="45"/>
  <c r="AX59" i="45"/>
  <c r="AY59" i="45"/>
  <c r="AZ59" i="45"/>
  <c r="BA59" i="45"/>
  <c r="G60" i="45"/>
  <c r="J60" i="45"/>
  <c r="L60" i="45"/>
  <c r="AS60" i="45"/>
  <c r="BB60" i="45" s="1"/>
  <c r="AT60" i="45"/>
  <c r="AW60" i="45"/>
  <c r="AX60" i="45"/>
  <c r="AY60" i="45"/>
  <c r="AZ60" i="45"/>
  <c r="BA60" i="45"/>
  <c r="G61" i="45"/>
  <c r="J61" i="45"/>
  <c r="L61" i="45" s="1"/>
  <c r="AS61" i="45"/>
  <c r="AT61" i="45"/>
  <c r="AW61" i="45"/>
  <c r="AX61" i="45"/>
  <c r="AY61" i="45"/>
  <c r="AZ61" i="45"/>
  <c r="BA61" i="45"/>
  <c r="BB61" i="45"/>
  <c r="G62" i="45"/>
  <c r="J62" i="45"/>
  <c r="L62" i="45"/>
  <c r="AS62" i="45"/>
  <c r="AT62" i="45"/>
  <c r="AW62" i="45"/>
  <c r="AX62" i="45"/>
  <c r="AY62" i="45"/>
  <c r="AZ62" i="45"/>
  <c r="BA62" i="45"/>
  <c r="BB62" i="45"/>
  <c r="G63" i="45"/>
  <c r="J63" i="45"/>
  <c r="L63" i="45" s="1"/>
  <c r="AS63" i="45"/>
  <c r="AT63" i="45"/>
  <c r="AW63" i="45"/>
  <c r="AX63" i="45"/>
  <c r="AY63" i="45"/>
  <c r="AZ63" i="45"/>
  <c r="BA63" i="45"/>
  <c r="BB63" i="45"/>
  <c r="G64" i="45"/>
  <c r="J64" i="45"/>
  <c r="L64" i="45" s="1"/>
  <c r="AS64" i="45"/>
  <c r="BB64" i="45" s="1"/>
  <c r="AT64" i="45"/>
  <c r="AW64" i="45"/>
  <c r="AX64" i="45"/>
  <c r="AY64" i="45"/>
  <c r="AZ64" i="45"/>
  <c r="BA64" i="45"/>
  <c r="G65" i="45"/>
  <c r="J65" i="45"/>
  <c r="L65" i="45"/>
  <c r="AS65" i="45"/>
  <c r="BB65" i="45" s="1"/>
  <c r="AT65" i="45"/>
  <c r="AW65" i="45"/>
  <c r="AX65" i="45"/>
  <c r="AY65" i="45"/>
  <c r="AZ65" i="45"/>
  <c r="BA65" i="45"/>
  <c r="G66" i="45"/>
  <c r="J66" i="45"/>
  <c r="L66" i="45" s="1"/>
  <c r="AS66" i="45"/>
  <c r="BB66" i="45" s="1"/>
  <c r="AT66" i="45"/>
  <c r="AW66" i="45"/>
  <c r="AX66" i="45"/>
  <c r="AY66" i="45"/>
  <c r="AZ66" i="45"/>
  <c r="BA66" i="45"/>
  <c r="G67" i="45"/>
  <c r="J67" i="45"/>
  <c r="L67" i="45"/>
  <c r="AS67" i="45"/>
  <c r="BB67" i="45" s="1"/>
  <c r="AT67" i="45"/>
  <c r="AW67" i="45"/>
  <c r="AX67" i="45"/>
  <c r="AY67" i="45"/>
  <c r="AZ67" i="45"/>
  <c r="BA67" i="45"/>
  <c r="G68" i="45"/>
  <c r="J68" i="45"/>
  <c r="L68" i="45" s="1"/>
  <c r="AS68" i="45"/>
  <c r="BB68" i="45" s="1"/>
  <c r="AT68" i="45"/>
  <c r="AW68" i="45"/>
  <c r="AX68" i="45"/>
  <c r="AY68" i="45"/>
  <c r="AZ68" i="45"/>
  <c r="BA68" i="45"/>
  <c r="G69" i="45"/>
  <c r="J69" i="45"/>
  <c r="L69" i="45"/>
  <c r="AS69" i="45"/>
  <c r="BB69" i="45" s="1"/>
  <c r="AT69" i="45"/>
  <c r="AW69" i="45"/>
  <c r="AX69" i="45"/>
  <c r="AY69" i="45"/>
  <c r="AZ69" i="45"/>
  <c r="BA69" i="45"/>
  <c r="G70" i="45"/>
  <c r="J70" i="45"/>
  <c r="L70" i="45" s="1"/>
  <c r="AS70" i="45"/>
  <c r="BB70" i="45" s="1"/>
  <c r="AT70" i="45"/>
  <c r="AW70" i="45"/>
  <c r="AX70" i="45"/>
  <c r="AY70" i="45"/>
  <c r="AZ70" i="45"/>
  <c r="BA70" i="45"/>
  <c r="G71" i="45"/>
  <c r="J71" i="45"/>
  <c r="L71" i="45" s="1"/>
  <c r="AS71" i="45"/>
  <c r="BB71" i="45" s="1"/>
  <c r="AT71" i="45"/>
  <c r="AW71" i="45"/>
  <c r="AX71" i="45"/>
  <c r="AY71" i="45"/>
  <c r="AZ71" i="45"/>
  <c r="BA71" i="45"/>
  <c r="G72" i="45"/>
  <c r="J72" i="45"/>
  <c r="L72" i="45"/>
  <c r="AS72" i="45"/>
  <c r="BB72" i="45" s="1"/>
  <c r="AT72" i="45"/>
  <c r="AW72" i="45"/>
  <c r="AX72" i="45"/>
  <c r="AY72" i="45"/>
  <c r="AZ72" i="45"/>
  <c r="BA72" i="45"/>
  <c r="G73" i="45"/>
  <c r="J73" i="45"/>
  <c r="L73" i="45"/>
  <c r="AS73" i="45"/>
  <c r="BB73" i="45" s="1"/>
  <c r="AT73" i="45"/>
  <c r="AW73" i="45"/>
  <c r="AX73" i="45"/>
  <c r="AY73" i="45"/>
  <c r="AZ73" i="45"/>
  <c r="BA73" i="45"/>
  <c r="E75" i="45"/>
  <c r="F75" i="45"/>
  <c r="J22" i="45" s="1"/>
  <c r="AI75" i="45"/>
  <c r="AJ75" i="45"/>
  <c r="AK75" i="45"/>
  <c r="AL75" i="45"/>
  <c r="AM75" i="45"/>
  <c r="AN75" i="45"/>
  <c r="AO75" i="45"/>
  <c r="AP75" i="45"/>
  <c r="AQ75" i="45"/>
  <c r="AR75" i="45"/>
  <c r="W8" i="44"/>
  <c r="X8" i="44"/>
  <c r="W9" i="44"/>
  <c r="X9" i="44"/>
  <c r="W10" i="44"/>
  <c r="X10" i="44"/>
  <c r="W11" i="44"/>
  <c r="X11" i="44"/>
  <c r="W12" i="44"/>
  <c r="X12" i="44"/>
  <c r="W13" i="44"/>
  <c r="X13" i="44"/>
  <c r="W14" i="44"/>
  <c r="X14" i="44"/>
  <c r="W15" i="44"/>
  <c r="X15" i="44"/>
  <c r="W16" i="44"/>
  <c r="X16" i="44"/>
  <c r="W17" i="44"/>
  <c r="X17" i="44"/>
  <c r="W18" i="44"/>
  <c r="X18" i="44"/>
  <c r="W19" i="44"/>
  <c r="X19" i="44"/>
  <c r="W20" i="44"/>
  <c r="X20" i="44"/>
  <c r="W21" i="44"/>
  <c r="X21" i="44"/>
  <c r="W22" i="44"/>
  <c r="X22" i="44"/>
  <c r="W23" i="44"/>
  <c r="X23" i="44"/>
  <c r="W24" i="44"/>
  <c r="X24" i="44"/>
  <c r="W25" i="44"/>
  <c r="X25" i="44"/>
  <c r="W26" i="44"/>
  <c r="X26" i="44"/>
  <c r="W27" i="44"/>
  <c r="X27" i="44"/>
  <c r="W28" i="44"/>
  <c r="X28" i="44"/>
  <c r="W29" i="44"/>
  <c r="X29" i="44"/>
  <c r="W30" i="44"/>
  <c r="X30" i="44"/>
  <c r="W31" i="44"/>
  <c r="X31" i="44"/>
  <c r="W32" i="44"/>
  <c r="X32" i="44"/>
  <c r="W33" i="44"/>
  <c r="X33" i="44"/>
  <c r="W34" i="44"/>
  <c r="X34" i="44"/>
  <c r="W35" i="44"/>
  <c r="X35" i="44"/>
  <c r="W36" i="44"/>
  <c r="X36" i="44"/>
  <c r="W37" i="44"/>
  <c r="X37" i="44"/>
  <c r="W38" i="44"/>
  <c r="X38" i="44"/>
  <c r="W39" i="44"/>
  <c r="X39" i="44"/>
  <c r="W40" i="44"/>
  <c r="X40" i="44"/>
  <c r="W41" i="44"/>
  <c r="X41" i="44"/>
  <c r="W42" i="44"/>
  <c r="X42" i="44"/>
  <c r="W43" i="44"/>
  <c r="X43" i="44"/>
  <c r="W44" i="44"/>
  <c r="X44" i="44"/>
  <c r="W45" i="44"/>
  <c r="X45" i="44"/>
  <c r="W46" i="44"/>
  <c r="X46" i="44"/>
  <c r="W47" i="44"/>
  <c r="X47" i="44"/>
  <c r="W48" i="44"/>
  <c r="X48" i="44"/>
  <c r="W49" i="44"/>
  <c r="X49" i="44"/>
  <c r="W50" i="44"/>
  <c r="X50" i="44"/>
  <c r="W51" i="44"/>
  <c r="X51" i="44"/>
  <c r="AI174" i="51" l="1"/>
  <c r="J75" i="45"/>
  <c r="J18" i="45" s="1"/>
  <c r="L17" i="48"/>
  <c r="AI41" i="51"/>
  <c r="O16" i="49"/>
  <c r="V178" i="51"/>
  <c r="S16" i="49"/>
  <c r="T29" i="49" s="1"/>
  <c r="E48" i="50"/>
  <c r="F48" i="50" s="1"/>
  <c r="G48" i="50" s="1"/>
  <c r="H48" i="50" s="1"/>
  <c r="I48" i="50" s="1"/>
  <c r="Z155" i="51"/>
  <c r="AH138" i="51"/>
  <c r="AX75" i="45"/>
  <c r="AJ10" i="45" s="1"/>
  <c r="AW75" i="45"/>
  <c r="AJ9" i="45" s="1"/>
  <c r="N11" i="49"/>
  <c r="P15" i="49"/>
  <c r="AS192" i="51"/>
  <c r="AS78" i="51"/>
  <c r="AT78" i="51" s="1"/>
  <c r="AU78" i="51" s="1"/>
  <c r="AV78" i="51" s="1"/>
  <c r="AW78" i="51" s="1"/>
  <c r="AS59" i="51"/>
  <c r="AT59" i="51" s="1"/>
  <c r="AU59" i="51" s="1"/>
  <c r="AV59" i="51" s="1"/>
  <c r="AW59" i="51" s="1"/>
  <c r="V45" i="51"/>
  <c r="AY75" i="45"/>
  <c r="AJ11" i="45" s="1"/>
  <c r="AS173" i="51"/>
  <c r="AT173" i="51" s="1"/>
  <c r="AU173" i="51" s="1"/>
  <c r="AV173" i="51" s="1"/>
  <c r="AW173" i="51" s="1"/>
  <c r="W157" i="51"/>
  <c r="AS97" i="51"/>
  <c r="AT97" i="51" s="1"/>
  <c r="AU97" i="51" s="1"/>
  <c r="AV97" i="51" s="1"/>
  <c r="AW97" i="51" s="1"/>
  <c r="AH78" i="51"/>
  <c r="AI78" i="51" s="1"/>
  <c r="AJ78" i="51" s="1"/>
  <c r="AK78" i="51" s="1"/>
  <c r="AL78" i="51" s="1"/>
  <c r="AS21" i="51"/>
  <c r="AT21" i="51" s="1"/>
  <c r="AU21" i="51" s="1"/>
  <c r="AV21" i="51" s="1"/>
  <c r="AW21" i="51" s="1"/>
  <c r="W192" i="51"/>
  <c r="AH154" i="51"/>
  <c r="AH116" i="51"/>
  <c r="AI116" i="51" s="1"/>
  <c r="AJ116" i="51" s="1"/>
  <c r="AK116" i="51" s="1"/>
  <c r="AL116" i="51" s="1"/>
  <c r="W97" i="51"/>
  <c r="X97" i="51" s="1"/>
  <c r="Y97" i="51" s="1"/>
  <c r="Z97" i="51" s="1"/>
  <c r="AA97" i="51" s="1"/>
  <c r="W78" i="51"/>
  <c r="X78" i="51" s="1"/>
  <c r="Y78" i="51" s="1"/>
  <c r="Z78" i="51" s="1"/>
  <c r="AA78" i="51" s="1"/>
  <c r="AH40" i="51"/>
  <c r="AI40" i="51" s="1"/>
  <c r="AJ40" i="51" s="1"/>
  <c r="W21" i="51"/>
  <c r="X21" i="51" s="1"/>
  <c r="Y21" i="51" s="1"/>
  <c r="Z21" i="51" s="1"/>
  <c r="AA21" i="51" s="1"/>
  <c r="BA75" i="45"/>
  <c r="W20" i="47"/>
  <c r="W173" i="51"/>
  <c r="X173" i="51" s="1"/>
  <c r="Y173" i="51" s="1"/>
  <c r="Z173" i="51" s="1"/>
  <c r="AA173" i="51" s="1"/>
  <c r="W154" i="51"/>
  <c r="X154" i="51" s="1"/>
  <c r="Y154" i="51" s="1"/>
  <c r="Z154" i="51" s="1"/>
  <c r="AA154" i="51" s="1"/>
  <c r="AS135" i="51"/>
  <c r="AT135" i="51" s="1"/>
  <c r="AU135" i="51" s="1"/>
  <c r="AV135" i="51" s="1"/>
  <c r="AW135" i="51" s="1"/>
  <c r="W116" i="51"/>
  <c r="X116" i="51" s="1"/>
  <c r="Y116" i="51" s="1"/>
  <c r="Z116" i="51" s="1"/>
  <c r="AA116" i="51" s="1"/>
  <c r="AH59" i="51"/>
  <c r="AI59" i="51" s="1"/>
  <c r="AJ59" i="51" s="1"/>
  <c r="AK59" i="51" s="1"/>
  <c r="AL59" i="51" s="1"/>
  <c r="AM59" i="51" s="1"/>
  <c r="W40" i="51"/>
  <c r="AZ75" i="45"/>
  <c r="T24" i="49"/>
  <c r="AT155" i="51"/>
  <c r="AH135" i="51"/>
  <c r="AI135" i="51" s="1"/>
  <c r="AJ135" i="51" s="1"/>
  <c r="AK135" i="51" s="1"/>
  <c r="AL135" i="51" s="1"/>
  <c r="R18" i="49"/>
  <c r="F40" i="50"/>
  <c r="E49" i="50"/>
  <c r="F49" i="50" s="1"/>
  <c r="F36" i="50"/>
  <c r="AK98" i="51"/>
  <c r="Z117" i="51"/>
  <c r="AV41" i="51"/>
  <c r="AV22" i="51"/>
  <c r="AK174" i="51"/>
  <c r="AS43" i="51"/>
  <c r="AH119" i="51"/>
  <c r="Z60" i="51"/>
  <c r="X187" i="51"/>
  <c r="AH177" i="51"/>
  <c r="AI177" i="51" s="1"/>
  <c r="AV136" i="51"/>
  <c r="W63" i="51"/>
  <c r="AR45" i="51"/>
  <c r="AS30" i="51" s="1"/>
  <c r="AG45" i="51"/>
  <c r="V159" i="51"/>
  <c r="AM192" i="51"/>
  <c r="AH157" i="51"/>
  <c r="AA16" i="51"/>
  <c r="AK41" i="51"/>
  <c r="AV155" i="51"/>
  <c r="X149" i="51"/>
  <c r="AK136" i="51"/>
  <c r="AV117" i="51"/>
  <c r="AR102" i="51"/>
  <c r="AS87" i="51" s="1"/>
  <c r="AS88" i="51" s="1"/>
  <c r="AS92" i="51" s="1"/>
  <c r="Z98" i="51"/>
  <c r="AK79" i="51"/>
  <c r="AH176" i="51"/>
  <c r="AI176" i="51" s="1"/>
  <c r="AJ176" i="51" s="1"/>
  <c r="AH100" i="51"/>
  <c r="W44" i="51"/>
  <c r="AK22" i="51"/>
  <c r="Z193" i="51"/>
  <c r="Z174" i="51"/>
  <c r="V83" i="51"/>
  <c r="AK60" i="51"/>
  <c r="W195" i="51"/>
  <c r="AG159" i="51"/>
  <c r="Z136" i="51"/>
  <c r="AK117" i="51"/>
  <c r="AV98" i="51"/>
  <c r="Z79" i="51"/>
  <c r="AH43" i="51"/>
  <c r="AI43" i="51" s="1"/>
  <c r="AJ43" i="51" s="1"/>
  <c r="AV174" i="51"/>
  <c r="AA168" i="51"/>
  <c r="AR159" i="51"/>
  <c r="AS144" i="51" s="1"/>
  <c r="AS145" i="51" s="1"/>
  <c r="AK155" i="51"/>
  <c r="AH81" i="51"/>
  <c r="Y73" i="51"/>
  <c r="W43" i="51"/>
  <c r="Z22" i="51"/>
  <c r="AV193" i="51"/>
  <c r="AG121" i="51"/>
  <c r="V64" i="51"/>
  <c r="AB78" i="51"/>
  <c r="X100" i="51"/>
  <c r="Y100" i="51" s="1"/>
  <c r="Z100" i="51" s="1"/>
  <c r="AA100" i="51" s="1"/>
  <c r="AT43" i="51"/>
  <c r="AU43" i="51" s="1"/>
  <c r="AV43" i="51" s="1"/>
  <c r="AW43" i="51" s="1"/>
  <c r="X193" i="51"/>
  <c r="AI136" i="51"/>
  <c r="AI138" i="51" s="1"/>
  <c r="AJ138" i="51" s="1"/>
  <c r="AR121" i="51"/>
  <c r="AS106" i="51" s="1"/>
  <c r="AS107" i="51" s="1"/>
  <c r="AS111" i="51" s="1"/>
  <c r="AS120" i="51" s="1"/>
  <c r="AT60" i="51"/>
  <c r="AX59" i="51"/>
  <c r="AT41" i="51"/>
  <c r="X98" i="51"/>
  <c r="X22" i="51"/>
  <c r="X12" i="51"/>
  <c r="X16" i="51" s="1"/>
  <c r="AT193" i="51"/>
  <c r="AT195" i="51" s="1"/>
  <c r="AU195" i="51" s="1"/>
  <c r="AV195" i="51" s="1"/>
  <c r="AW195" i="51" s="1"/>
  <c r="X155" i="51"/>
  <c r="AS157" i="51"/>
  <c r="AT157" i="51" s="1"/>
  <c r="AU157" i="51" s="1"/>
  <c r="V121" i="51"/>
  <c r="AI117" i="51"/>
  <c r="AI79" i="51"/>
  <c r="X73" i="51"/>
  <c r="W138" i="51"/>
  <c r="X138" i="51" s="1"/>
  <c r="AA126" i="51"/>
  <c r="AA130" i="51" s="1"/>
  <c r="AT98" i="51"/>
  <c r="AT22" i="51"/>
  <c r="AS100" i="51"/>
  <c r="AI60" i="51"/>
  <c r="AI193" i="51"/>
  <c r="AH196" i="51"/>
  <c r="AI196" i="51" s="1"/>
  <c r="AT136" i="51"/>
  <c r="X117" i="51"/>
  <c r="X79" i="51"/>
  <c r="AH195" i="51"/>
  <c r="W119" i="51"/>
  <c r="AI98" i="51"/>
  <c r="W81" i="51"/>
  <c r="W62" i="51"/>
  <c r="AS24" i="51"/>
  <c r="AI22" i="51"/>
  <c r="AI24" i="51" s="1"/>
  <c r="AJ24" i="51" s="1"/>
  <c r="AB21" i="51"/>
  <c r="X174" i="51"/>
  <c r="AI155" i="51"/>
  <c r="AT117" i="51"/>
  <c r="AH101" i="51"/>
  <c r="AH102" i="51" s="1"/>
  <c r="AT79" i="51"/>
  <c r="AX78" i="51"/>
  <c r="Y31" i="51"/>
  <c r="Y35" i="51" s="1"/>
  <c r="AH25" i="51"/>
  <c r="X111" i="51"/>
  <c r="AR83" i="51"/>
  <c r="AS68" i="51" s="1"/>
  <c r="AS69" i="51" s="1"/>
  <c r="AS73" i="51" s="1"/>
  <c r="AS82" i="51" s="1"/>
  <c r="X60" i="51"/>
  <c r="X41" i="51"/>
  <c r="X176" i="51"/>
  <c r="Y176" i="51" s="1"/>
  <c r="AG83" i="51"/>
  <c r="AS81" i="51"/>
  <c r="E50" i="50"/>
  <c r="AL173" i="51"/>
  <c r="AM173" i="51" s="1"/>
  <c r="AS168" i="51"/>
  <c r="W107" i="51"/>
  <c r="W111" i="51"/>
  <c r="W120" i="51" s="1"/>
  <c r="AS31" i="51"/>
  <c r="AS35" i="51" s="1"/>
  <c r="AS44" i="51" s="1"/>
  <c r="AM97" i="51"/>
  <c r="AH62" i="51"/>
  <c r="AG64" i="51"/>
  <c r="AX21" i="51"/>
  <c r="AG178" i="51"/>
  <c r="Z164" i="51"/>
  <c r="Z168" i="51" s="1"/>
  <c r="AT154" i="51"/>
  <c r="AU154" i="51" s="1"/>
  <c r="AV154" i="51" s="1"/>
  <c r="AW154" i="51" s="1"/>
  <c r="W88" i="51"/>
  <c r="W92" i="51"/>
  <c r="W101" i="51" s="1"/>
  <c r="AR64" i="51"/>
  <c r="AS49" i="51" s="1"/>
  <c r="AB59" i="51"/>
  <c r="Y50" i="51"/>
  <c r="Y54" i="51" s="1"/>
  <c r="AS183" i="51"/>
  <c r="AS187" i="51" s="1"/>
  <c r="AS196" i="51" s="1"/>
  <c r="AI154" i="51"/>
  <c r="AJ154" i="51" s="1"/>
  <c r="AK154" i="51" s="1"/>
  <c r="AL154" i="51" s="1"/>
  <c r="AM116" i="51"/>
  <c r="I40" i="50"/>
  <c r="AH158" i="51"/>
  <c r="AX135" i="51"/>
  <c r="H40" i="50"/>
  <c r="AI195" i="51"/>
  <c r="AJ195" i="51" s="1"/>
  <c r="AK195" i="51" s="1"/>
  <c r="AL195" i="51" s="1"/>
  <c r="AM135" i="51"/>
  <c r="AH63" i="51"/>
  <c r="X50" i="51"/>
  <c r="X54" i="51" s="1"/>
  <c r="AT40" i="51"/>
  <c r="AU40" i="51" s="1"/>
  <c r="AV40" i="51" s="1"/>
  <c r="AW40" i="51" s="1"/>
  <c r="W12" i="51"/>
  <c r="W16" i="51" s="1"/>
  <c r="AA183" i="51"/>
  <c r="AA187" i="51" s="1"/>
  <c r="X168" i="51"/>
  <c r="V26" i="51"/>
  <c r="W168" i="51"/>
  <c r="V102" i="51"/>
  <c r="AA69" i="51"/>
  <c r="AA73" i="51" s="1"/>
  <c r="Z50" i="51"/>
  <c r="Z54" i="51" s="1"/>
  <c r="V197" i="51"/>
  <c r="W196" i="51"/>
  <c r="Z149" i="51"/>
  <c r="AH120" i="51"/>
  <c r="AS176" i="51"/>
  <c r="AT176" i="51" s="1"/>
  <c r="AU176" i="51" s="1"/>
  <c r="AS138" i="51"/>
  <c r="AR140" i="51"/>
  <c r="AS125" i="51" s="1"/>
  <c r="AK40" i="51"/>
  <c r="AL40" i="51" s="1"/>
  <c r="AA149" i="51"/>
  <c r="AG102" i="51"/>
  <c r="Z73" i="51"/>
  <c r="AR26" i="51"/>
  <c r="AS11" i="51" s="1"/>
  <c r="AM21" i="51"/>
  <c r="X192" i="51"/>
  <c r="Y192" i="51" s="1"/>
  <c r="Z192" i="51" s="1"/>
  <c r="AA192" i="51" s="1"/>
  <c r="AG140" i="51"/>
  <c r="G40" i="50"/>
  <c r="Y187" i="51"/>
  <c r="W139" i="51"/>
  <c r="AB97" i="51"/>
  <c r="AS62" i="51"/>
  <c r="AT62" i="51" s="1"/>
  <c r="AU62" i="51" s="1"/>
  <c r="AV62" i="51" s="1"/>
  <c r="W149" i="51"/>
  <c r="AB135" i="51"/>
  <c r="Y111" i="51"/>
  <c r="X40" i="51"/>
  <c r="Y40" i="51" s="1"/>
  <c r="Z40" i="51" s="1"/>
  <c r="AA40" i="51" s="1"/>
  <c r="AG26" i="51"/>
  <c r="W24" i="51"/>
  <c r="AT192" i="51"/>
  <c r="AU192" i="51" s="1"/>
  <c r="AV192" i="51" s="1"/>
  <c r="AW192" i="51" s="1"/>
  <c r="AS119" i="51"/>
  <c r="X88" i="51"/>
  <c r="X92" i="51" s="1"/>
  <c r="AX116" i="51"/>
  <c r="AB116" i="51"/>
  <c r="Z130" i="51"/>
  <c r="W73" i="51"/>
  <c r="W82" i="51" s="1"/>
  <c r="N24" i="49"/>
  <c r="P24" i="49" s="1"/>
  <c r="T14" i="49"/>
  <c r="T16" i="49" s="1"/>
  <c r="T18" i="49" s="1"/>
  <c r="N14" i="49"/>
  <c r="O11" i="49"/>
  <c r="O18" i="49" s="1"/>
  <c r="M16" i="49"/>
  <c r="O20" i="47"/>
  <c r="AE20" i="47"/>
  <c r="AA20" i="47"/>
  <c r="J24" i="45"/>
  <c r="BB75" i="45"/>
  <c r="AJ13" i="45"/>
  <c r="AJ12" i="45"/>
  <c r="AS75" i="45"/>
  <c r="AJ16" i="45" l="1"/>
  <c r="AJ20" i="45" s="1"/>
  <c r="AJ24" i="45" s="1"/>
  <c r="W158" i="51"/>
  <c r="X157" i="51"/>
  <c r="Y157" i="51" s="1"/>
  <c r="Z157" i="51" s="1"/>
  <c r="AA157" i="51" s="1"/>
  <c r="AI119" i="51"/>
  <c r="AJ119" i="51" s="1"/>
  <c r="AK119" i="51" s="1"/>
  <c r="AL119" i="51" s="1"/>
  <c r="AH82" i="51"/>
  <c r="AH83" i="51" s="1"/>
  <c r="W177" i="51"/>
  <c r="W178" i="51" s="1"/>
  <c r="AK24" i="51"/>
  <c r="AL24" i="51" s="1"/>
  <c r="AB154" i="51"/>
  <c r="X62" i="51"/>
  <c r="Y62" i="51" s="1"/>
  <c r="Z62" i="51" s="1"/>
  <c r="AA62" i="51" s="1"/>
  <c r="AK176" i="51"/>
  <c r="AL176" i="51" s="1"/>
  <c r="AK43" i="51"/>
  <c r="AL43" i="51" s="1"/>
  <c r="AI101" i="51"/>
  <c r="AJ101" i="51" s="1"/>
  <c r="AH139" i="51"/>
  <c r="AT138" i="51"/>
  <c r="AH44" i="51"/>
  <c r="AI44" i="51" s="1"/>
  <c r="AJ44" i="51" s="1"/>
  <c r="W25" i="51"/>
  <c r="AS177" i="51"/>
  <c r="AS178" i="51" s="1"/>
  <c r="AT163" i="51" s="1"/>
  <c r="AI100" i="51"/>
  <c r="AJ100" i="51" s="1"/>
  <c r="AK100" i="51" s="1"/>
  <c r="AL100" i="51" s="1"/>
  <c r="AB173" i="51"/>
  <c r="AS101" i="51"/>
  <c r="AS102" i="51" s="1"/>
  <c r="AT87" i="51" s="1"/>
  <c r="AK138" i="51"/>
  <c r="AL138" i="51" s="1"/>
  <c r="X195" i="51"/>
  <c r="Y195" i="51" s="1"/>
  <c r="Z195" i="51" s="1"/>
  <c r="AA195" i="51" s="1"/>
  <c r="AI81" i="51"/>
  <c r="AJ81" i="51" s="1"/>
  <c r="AK81" i="51" s="1"/>
  <c r="AL81" i="51" s="1"/>
  <c r="AV157" i="51"/>
  <c r="AW157" i="51" s="1"/>
  <c r="AI25" i="51"/>
  <c r="X81" i="51"/>
  <c r="Y81" i="51" s="1"/>
  <c r="Z81" i="51" s="1"/>
  <c r="AA81" i="51" s="1"/>
  <c r="AV176" i="51"/>
  <c r="AW176" i="51" s="1"/>
  <c r="X119" i="51"/>
  <c r="Y119" i="51" s="1"/>
  <c r="Z119" i="51" s="1"/>
  <c r="AA119" i="51" s="1"/>
  <c r="AI62" i="51"/>
  <c r="AJ62" i="51" s="1"/>
  <c r="AK62" i="51" s="1"/>
  <c r="AL62" i="51" s="1"/>
  <c r="W45" i="51"/>
  <c r="AI197" i="51"/>
  <c r="AJ196" i="51"/>
  <c r="AJ197" i="51" s="1"/>
  <c r="AB40" i="51"/>
  <c r="AX173" i="51"/>
  <c r="AB192" i="51"/>
  <c r="Z176" i="51"/>
  <c r="AA176" i="51" s="1"/>
  <c r="AI157" i="51"/>
  <c r="AJ157" i="51" s="1"/>
  <c r="AK157" i="51" s="1"/>
  <c r="AL157" i="51" s="1"/>
  <c r="AS149" i="51"/>
  <c r="AS158" i="51" s="1"/>
  <c r="AS159" i="51" s="1"/>
  <c r="AT144" i="51" s="1"/>
  <c r="X44" i="51"/>
  <c r="Y44" i="51" s="1"/>
  <c r="AH26" i="51"/>
  <c r="X63" i="51"/>
  <c r="X43" i="51"/>
  <c r="Y43" i="51" s="1"/>
  <c r="Z43" i="51" s="1"/>
  <c r="AA43" i="51" s="1"/>
  <c r="AH178" i="51"/>
  <c r="AM40" i="51"/>
  <c r="AT24" i="51"/>
  <c r="AU24" i="51" s="1"/>
  <c r="AV24" i="51" s="1"/>
  <c r="AW24" i="51" s="1"/>
  <c r="AT100" i="51"/>
  <c r="AU100" i="51" s="1"/>
  <c r="AV100" i="51" s="1"/>
  <c r="AW100" i="51" s="1"/>
  <c r="AT81" i="51"/>
  <c r="AU81" i="51" s="1"/>
  <c r="AV81" i="51" s="1"/>
  <c r="X24" i="51"/>
  <c r="Y24" i="51" s="1"/>
  <c r="Z24" i="51" s="1"/>
  <c r="AA24" i="51" s="1"/>
  <c r="AX192" i="51"/>
  <c r="AH197" i="51"/>
  <c r="W64" i="51"/>
  <c r="AS45" i="51"/>
  <c r="AT30" i="51" s="1"/>
  <c r="Y63" i="51"/>
  <c r="X64" i="51"/>
  <c r="X101" i="51"/>
  <c r="W102" i="51"/>
  <c r="AS83" i="51"/>
  <c r="AT68" i="51" s="1"/>
  <c r="X177" i="51"/>
  <c r="AS197" i="51"/>
  <c r="AT182" i="51" s="1"/>
  <c r="W121" i="51"/>
  <c r="X120" i="51"/>
  <c r="AB121" i="51"/>
  <c r="AB122" i="51" s="1"/>
  <c r="W26" i="51"/>
  <c r="X25" i="51"/>
  <c r="AX97" i="51"/>
  <c r="AI158" i="51"/>
  <c r="AH159" i="51"/>
  <c r="AS50" i="51"/>
  <c r="AS54" i="51" s="1"/>
  <c r="AS63" i="51" s="1"/>
  <c r="AS12" i="51"/>
  <c r="AS16" i="51" s="1"/>
  <c r="AS25" i="51" s="1"/>
  <c r="AJ177" i="51"/>
  <c r="AI178" i="51"/>
  <c r="F50" i="50"/>
  <c r="G49" i="50"/>
  <c r="AS121" i="51"/>
  <c r="AT106" i="51" s="1"/>
  <c r="Y138" i="51"/>
  <c r="Z138" i="51" s="1"/>
  <c r="AA138" i="51" s="1"/>
  <c r="X158" i="51"/>
  <c r="W159" i="51"/>
  <c r="AI63" i="51"/>
  <c r="AH64" i="51"/>
  <c r="AX154" i="51"/>
  <c r="AI82" i="51"/>
  <c r="AW62" i="51"/>
  <c r="AW81" i="51"/>
  <c r="AM78" i="51"/>
  <c r="AJ25" i="51"/>
  <c r="AI26" i="51"/>
  <c r="AU138" i="51"/>
  <c r="AV138" i="51" s="1"/>
  <c r="AW138" i="51" s="1"/>
  <c r="AI45" i="51"/>
  <c r="AT119" i="51"/>
  <c r="AU119" i="51" s="1"/>
  <c r="AV119" i="51" s="1"/>
  <c r="AW119" i="51" s="1"/>
  <c r="AX121" i="51"/>
  <c r="AX122" i="51" s="1"/>
  <c r="AS126" i="51"/>
  <c r="AS130" i="51" s="1"/>
  <c r="AS139" i="51" s="1"/>
  <c r="X139" i="51"/>
  <c r="AB140" i="51" s="1"/>
  <c r="AB141" i="51" s="1"/>
  <c r="W140" i="51"/>
  <c r="W83" i="51"/>
  <c r="X82" i="51"/>
  <c r="AI120" i="51"/>
  <c r="AH121" i="51"/>
  <c r="AH140" i="51"/>
  <c r="AI139" i="51"/>
  <c r="X196" i="51"/>
  <c r="W197" i="51"/>
  <c r="AX40" i="51"/>
  <c r="AM154" i="51"/>
  <c r="N16" i="49"/>
  <c r="P14" i="49"/>
  <c r="P11" i="49"/>
  <c r="AJ15" i="45"/>
  <c r="AJ26" i="45" s="1"/>
  <c r="N38" i="45"/>
  <c r="N50" i="45"/>
  <c r="N62" i="45"/>
  <c r="N64" i="45"/>
  <c r="N41" i="45"/>
  <c r="N65" i="45"/>
  <c r="N42" i="45"/>
  <c r="N54" i="45"/>
  <c r="N66" i="45"/>
  <c r="N43" i="45"/>
  <c r="N44" i="45"/>
  <c r="N56" i="45"/>
  <c r="N39" i="45"/>
  <c r="N51" i="45"/>
  <c r="N63" i="45"/>
  <c r="N40" i="45"/>
  <c r="N52" i="45"/>
  <c r="N53" i="45"/>
  <c r="N30" i="45"/>
  <c r="N67" i="45"/>
  <c r="N32" i="45"/>
  <c r="N68" i="45"/>
  <c r="N45" i="45"/>
  <c r="N57" i="45"/>
  <c r="N31" i="45"/>
  <c r="N55" i="45"/>
  <c r="N33" i="45"/>
  <c r="N69" i="45"/>
  <c r="N34" i="45"/>
  <c r="N46" i="45"/>
  <c r="N58" i="45"/>
  <c r="N70" i="45"/>
  <c r="N48" i="45"/>
  <c r="N72" i="45"/>
  <c r="N37" i="45"/>
  <c r="N61" i="45"/>
  <c r="N35" i="45"/>
  <c r="N47" i="45"/>
  <c r="N59" i="45"/>
  <c r="N71" i="45"/>
  <c r="N36" i="45"/>
  <c r="N60" i="45"/>
  <c r="N49" i="45"/>
  <c r="N73" i="45"/>
  <c r="AI102" i="51" l="1"/>
  <c r="AH45" i="51"/>
  <c r="X45" i="51"/>
  <c r="AB45" i="51"/>
  <c r="AB46" i="51" s="1"/>
  <c r="AK196" i="51"/>
  <c r="AS26" i="51"/>
  <c r="AT11" i="51" s="1"/>
  <c r="AS140" i="51"/>
  <c r="AT125" i="51" s="1"/>
  <c r="AK177" i="51"/>
  <c r="AJ178" i="51"/>
  <c r="AT69" i="51"/>
  <c r="AT73" i="51" s="1"/>
  <c r="AT82" i="51" s="1"/>
  <c r="AJ158" i="51"/>
  <c r="AI159" i="51"/>
  <c r="Y101" i="51"/>
  <c r="X102" i="51"/>
  <c r="AJ82" i="51"/>
  <c r="AI83" i="51"/>
  <c r="X121" i="51"/>
  <c r="Y120" i="51"/>
  <c r="AT31" i="51"/>
  <c r="AT35" i="51" s="1"/>
  <c r="AT44" i="51" s="1"/>
  <c r="X83" i="51"/>
  <c r="Y82" i="51"/>
  <c r="AJ102" i="51"/>
  <c r="AK101" i="51"/>
  <c r="AK25" i="51"/>
  <c r="AJ26" i="51"/>
  <c r="AS64" i="51"/>
  <c r="AT49" i="51" s="1"/>
  <c r="AT164" i="51"/>
  <c r="AT168" i="51" s="1"/>
  <c r="AT177" i="51" s="1"/>
  <c r="X159" i="51"/>
  <c r="Y158" i="51"/>
  <c r="G50" i="50"/>
  <c r="H49" i="50"/>
  <c r="AJ120" i="51"/>
  <c r="AI121" i="51"/>
  <c r="AT145" i="51"/>
  <c r="AT149" i="51"/>
  <c r="AT158" i="51" s="1"/>
  <c r="Y196" i="51"/>
  <c r="X197" i="51"/>
  <c r="Y139" i="51"/>
  <c r="X140" i="51"/>
  <c r="AT183" i="51"/>
  <c r="AT187" i="51" s="1"/>
  <c r="AT196" i="51" s="1"/>
  <c r="AT88" i="51"/>
  <c r="AT92" i="51" s="1"/>
  <c r="AT101" i="51" s="1"/>
  <c r="Y177" i="51"/>
  <c r="X178" i="51"/>
  <c r="AK197" i="51"/>
  <c r="AL196" i="51"/>
  <c r="AT107" i="51"/>
  <c r="AT111" i="51"/>
  <c r="AT120" i="51" s="1"/>
  <c r="AI64" i="51"/>
  <c r="AJ63" i="51"/>
  <c r="Z63" i="51"/>
  <c r="Y64" i="51"/>
  <c r="AB64" i="51"/>
  <c r="AB65" i="51" s="1"/>
  <c r="Z44" i="51"/>
  <c r="Y45" i="51"/>
  <c r="AI140" i="51"/>
  <c r="AJ139" i="51"/>
  <c r="AK44" i="51"/>
  <c r="AJ45" i="51"/>
  <c r="X26" i="51"/>
  <c r="Y25" i="51"/>
  <c r="P16" i="49"/>
  <c r="N18" i="49"/>
  <c r="P18" i="49" s="1"/>
  <c r="BD41" i="45"/>
  <c r="BD53" i="45"/>
  <c r="BD65" i="45"/>
  <c r="BD67" i="45"/>
  <c r="BD32" i="45"/>
  <c r="BD33" i="45"/>
  <c r="BD69" i="45"/>
  <c r="BD34" i="45"/>
  <c r="BD46" i="45"/>
  <c r="BD58" i="45"/>
  <c r="BD70" i="45"/>
  <c r="BD72" i="45"/>
  <c r="BD30" i="45"/>
  <c r="BD42" i="45"/>
  <c r="BD54" i="45"/>
  <c r="BD66" i="45"/>
  <c r="BD31" i="45"/>
  <c r="BD43" i="45"/>
  <c r="BD55" i="45"/>
  <c r="BD44" i="45"/>
  <c r="BD56" i="45"/>
  <c r="BD68" i="45"/>
  <c r="BD59" i="45"/>
  <c r="BD71" i="45"/>
  <c r="BD60" i="45"/>
  <c r="BD35" i="45"/>
  <c r="BD47" i="45"/>
  <c r="BD48" i="45"/>
  <c r="BD45" i="45"/>
  <c r="BD57" i="45"/>
  <c r="BD36" i="45"/>
  <c r="BD37" i="45"/>
  <c r="BD49" i="45"/>
  <c r="BD61" i="45"/>
  <c r="BD73" i="45"/>
  <c r="BD51" i="45"/>
  <c r="BD64" i="45"/>
  <c r="BD38" i="45"/>
  <c r="BD50" i="45"/>
  <c r="BD62" i="45"/>
  <c r="BD39" i="45"/>
  <c r="BD63" i="45"/>
  <c r="BD40" i="45"/>
  <c r="BD52" i="45"/>
  <c r="AT45" i="51" l="1"/>
  <c r="AU30" i="51" s="1"/>
  <c r="AT178" i="51"/>
  <c r="AU163" i="51" s="1"/>
  <c r="AT102" i="51"/>
  <c r="AU87" i="51" s="1"/>
  <c r="AK120" i="51"/>
  <c r="AJ121" i="51"/>
  <c r="Y83" i="51"/>
  <c r="Z82" i="51"/>
  <c r="AB83" i="51"/>
  <c r="AB84" i="51" s="1"/>
  <c r="AK178" i="51"/>
  <c r="AL177" i="51"/>
  <c r="Z158" i="51"/>
  <c r="Y159" i="51"/>
  <c r="AB159" i="51"/>
  <c r="AB160" i="51" s="1"/>
  <c r="AT126" i="51"/>
  <c r="AT130" i="51" s="1"/>
  <c r="AT139" i="51" s="1"/>
  <c r="I49" i="50"/>
  <c r="I50" i="50" s="1"/>
  <c r="H50" i="50"/>
  <c r="AJ159" i="51"/>
  <c r="AK158" i="51"/>
  <c r="Y26" i="51"/>
  <c r="Z25" i="51"/>
  <c r="AB26" i="51"/>
  <c r="Y140" i="51"/>
  <c r="Z139" i="51"/>
  <c r="Z196" i="51"/>
  <c r="Y197" i="51"/>
  <c r="AJ140" i="51"/>
  <c r="AK139" i="51"/>
  <c r="AK82" i="51"/>
  <c r="AJ83" i="51"/>
  <c r="Z45" i="51"/>
  <c r="AA44" i="51"/>
  <c r="AA45" i="51" s="1"/>
  <c r="AT197" i="51"/>
  <c r="AU182" i="51" s="1"/>
  <c r="AT83" i="51"/>
  <c r="AU68" i="51" s="1"/>
  <c r="Y121" i="51"/>
  <c r="Z120" i="51"/>
  <c r="AT50" i="51"/>
  <c r="AT54" i="51" s="1"/>
  <c r="AT63" i="51" s="1"/>
  <c r="AT159" i="51"/>
  <c r="AU144" i="51" s="1"/>
  <c r="AK26" i="51"/>
  <c r="AL25" i="51"/>
  <c r="AA63" i="51"/>
  <c r="AA64" i="51" s="1"/>
  <c r="Z64" i="51"/>
  <c r="AJ64" i="51"/>
  <c r="AK63" i="51"/>
  <c r="AT121" i="51"/>
  <c r="AU106" i="51" s="1"/>
  <c r="AL44" i="51"/>
  <c r="AK45" i="51"/>
  <c r="AL197" i="51"/>
  <c r="AM197" i="51"/>
  <c r="AM198" i="51" s="1"/>
  <c r="Y178" i="51"/>
  <c r="Z177" i="51"/>
  <c r="AK102" i="51"/>
  <c r="AL101" i="51"/>
  <c r="Z101" i="51"/>
  <c r="Y102" i="51"/>
  <c r="AT12" i="51"/>
  <c r="AT16" i="51" s="1"/>
  <c r="AT25" i="51" s="1"/>
  <c r="AT64" i="51" l="1"/>
  <c r="AU49" i="51" s="1"/>
  <c r="AT26" i="51"/>
  <c r="AU11" i="51" s="1"/>
  <c r="AT140" i="51"/>
  <c r="AU125" i="51" s="1"/>
  <c r="AX140" i="51"/>
  <c r="AX141" i="51" s="1"/>
  <c r="AA25" i="51"/>
  <c r="AA26" i="51" s="1"/>
  <c r="Z26" i="51"/>
  <c r="AL26" i="51"/>
  <c r="AM26" i="51"/>
  <c r="Z83" i="51"/>
  <c r="AA82" i="51"/>
  <c r="AA83" i="51" s="1"/>
  <c r="AA177" i="51"/>
  <c r="AA178" i="51" s="1"/>
  <c r="AB178" i="51"/>
  <c r="AB179" i="51" s="1"/>
  <c r="Z178" i="51"/>
  <c r="AK159" i="51"/>
  <c r="AL158" i="51"/>
  <c r="AL139" i="51"/>
  <c r="AK140" i="51"/>
  <c r="AK121" i="51"/>
  <c r="AL120" i="51"/>
  <c r="Z121" i="51"/>
  <c r="AA120" i="51"/>
  <c r="AA121" i="51" s="1"/>
  <c r="AU107" i="51"/>
  <c r="AU111" i="51" s="1"/>
  <c r="AU120" i="51" s="1"/>
  <c r="AA196" i="51"/>
  <c r="AA197" i="51" s="1"/>
  <c r="Z197" i="51"/>
  <c r="AB197" i="51"/>
  <c r="AB198" i="51" s="1"/>
  <c r="AU88" i="51"/>
  <c r="AU92" i="51" s="1"/>
  <c r="AU101" i="51" s="1"/>
  <c r="AK64" i="51"/>
  <c r="AL63" i="51"/>
  <c r="Z140" i="51"/>
  <c r="AA139" i="51"/>
  <c r="AA140" i="51" s="1"/>
  <c r="AU164" i="51"/>
  <c r="AU168" i="51" s="1"/>
  <c r="AU177" i="51" s="1"/>
  <c r="AU145" i="51"/>
  <c r="AU149" i="51" s="1"/>
  <c r="AU158" i="51" s="1"/>
  <c r="AL45" i="51"/>
  <c r="AM45" i="51"/>
  <c r="AM46" i="51" s="1"/>
  <c r="AU69" i="51"/>
  <c r="AU73" i="51" s="1"/>
  <c r="AU82" i="51" s="1"/>
  <c r="AA158" i="51"/>
  <c r="AA159" i="51" s="1"/>
  <c r="Z159" i="51"/>
  <c r="AL82" i="51"/>
  <c r="AK83" i="51"/>
  <c r="AA101" i="51"/>
  <c r="AA102" i="51" s="1"/>
  <c r="Z102" i="51"/>
  <c r="AB102" i="51"/>
  <c r="AB103" i="51" s="1"/>
  <c r="AL102" i="51"/>
  <c r="AM102" i="51"/>
  <c r="AM103" i="51" s="1"/>
  <c r="AU183" i="51"/>
  <c r="AU187" i="51" s="1"/>
  <c r="AU196" i="51" s="1"/>
  <c r="AB27" i="51"/>
  <c r="AL178" i="51"/>
  <c r="AM178" i="51"/>
  <c r="AM179" i="51" s="1"/>
  <c r="AU31" i="51"/>
  <c r="AU35" i="51" s="1"/>
  <c r="AU44" i="51" s="1"/>
  <c r="M13" i="51" l="1"/>
  <c r="M11" i="51"/>
  <c r="M12" i="51"/>
  <c r="AU178" i="51"/>
  <c r="AV163" i="51" s="1"/>
  <c r="M10" i="51"/>
  <c r="AL83" i="51"/>
  <c r="AM83" i="51"/>
  <c r="AM84" i="51" s="1"/>
  <c r="AL121" i="51"/>
  <c r="AM121" i="51"/>
  <c r="AM122" i="51" s="1"/>
  <c r="AM27" i="51"/>
  <c r="M14" i="51"/>
  <c r="AL64" i="51"/>
  <c r="AM64" i="51"/>
  <c r="AM65" i="51" s="1"/>
  <c r="AU83" i="51"/>
  <c r="AV68" i="51" s="1"/>
  <c r="AL159" i="51"/>
  <c r="AM159" i="51"/>
  <c r="AM160" i="51" s="1"/>
  <c r="AU126" i="51"/>
  <c r="AU130" i="51" s="1"/>
  <c r="AU139" i="51" s="1"/>
  <c r="M18" i="51"/>
  <c r="M21" i="51"/>
  <c r="M17" i="51"/>
  <c r="M19" i="51"/>
  <c r="AU102" i="51"/>
  <c r="AV87" i="51" s="1"/>
  <c r="AU45" i="51"/>
  <c r="AV30" i="51" s="1"/>
  <c r="AU12" i="51"/>
  <c r="AU16" i="51" s="1"/>
  <c r="AU25" i="51" s="1"/>
  <c r="AU197" i="51"/>
  <c r="AV182" i="51" s="1"/>
  <c r="AU159" i="51"/>
  <c r="AV144" i="51" s="1"/>
  <c r="AX159" i="51"/>
  <c r="AX160" i="51" s="1"/>
  <c r="AU121" i="51"/>
  <c r="AV106" i="51" s="1"/>
  <c r="AU50" i="51"/>
  <c r="AU54" i="51" s="1"/>
  <c r="AU63" i="51" s="1"/>
  <c r="AL140" i="51"/>
  <c r="AM140" i="51"/>
  <c r="AM141" i="51" s="1"/>
  <c r="O12" i="51" l="1"/>
  <c r="O14" i="51"/>
  <c r="O11" i="51"/>
  <c r="O13" i="51"/>
  <c r="O10" i="51"/>
  <c r="AU64" i="51"/>
  <c r="AV49" i="51" s="1"/>
  <c r="AU140" i="51"/>
  <c r="AV125" i="51" s="1"/>
  <c r="AV183" i="51"/>
  <c r="AV187" i="51"/>
  <c r="AV196" i="51" s="1"/>
  <c r="AV31" i="51"/>
  <c r="AV35" i="51" s="1"/>
  <c r="AV44" i="51" s="1"/>
  <c r="AV88" i="51"/>
  <c r="AV92" i="51" s="1"/>
  <c r="AV101" i="51" s="1"/>
  <c r="AU26" i="51"/>
  <c r="AV11" i="51" s="1"/>
  <c r="AV69" i="51"/>
  <c r="AV73" i="51"/>
  <c r="AV82" i="51" s="1"/>
  <c r="M15" i="51"/>
  <c r="AV145" i="51"/>
  <c r="AV149" i="51" s="1"/>
  <c r="AV158" i="51" s="1"/>
  <c r="AV164" i="51"/>
  <c r="AV168" i="51" s="1"/>
  <c r="AV177" i="51" s="1"/>
  <c r="AV107" i="51"/>
  <c r="AV111" i="51" s="1"/>
  <c r="AV120" i="51" s="1"/>
  <c r="O18" i="51"/>
  <c r="O21" i="51"/>
  <c r="O17" i="51"/>
  <c r="O19" i="51"/>
  <c r="O15" i="51" l="1"/>
  <c r="AV102" i="51"/>
  <c r="AW87" i="51" s="1"/>
  <c r="AV178" i="51"/>
  <c r="AW163" i="51" s="1"/>
  <c r="AX178" i="51"/>
  <c r="AX179" i="51" s="1"/>
  <c r="AV159" i="51"/>
  <c r="AW144" i="51" s="1"/>
  <c r="AV121" i="51"/>
  <c r="AW106" i="51" s="1"/>
  <c r="AV12" i="51"/>
  <c r="AV16" i="51" s="1"/>
  <c r="AV25" i="51" s="1"/>
  <c r="AV45" i="51"/>
  <c r="AW30" i="51" s="1"/>
  <c r="AX45" i="51"/>
  <c r="AX46" i="51" s="1"/>
  <c r="AV126" i="51"/>
  <c r="AV130" i="51" s="1"/>
  <c r="AV139" i="51" s="1"/>
  <c r="AV83" i="51"/>
  <c r="AW68" i="51" s="1"/>
  <c r="AX83" i="51"/>
  <c r="AX84" i="51" s="1"/>
  <c r="AV50" i="51"/>
  <c r="AV54" i="51"/>
  <c r="AV63" i="51" s="1"/>
  <c r="AV197" i="51"/>
  <c r="AW182" i="51" s="1"/>
  <c r="AX197" i="51"/>
  <c r="AX198" i="51" s="1"/>
  <c r="AV140" i="51" l="1"/>
  <c r="AW125" i="51" s="1"/>
  <c r="AW183" i="51"/>
  <c r="AW187" i="51" s="1"/>
  <c r="AW196" i="51" s="1"/>
  <c r="AW197" i="51" s="1"/>
  <c r="AW31" i="51"/>
  <c r="AW35" i="51"/>
  <c r="AW44" i="51" s="1"/>
  <c r="AW45" i="51" s="1"/>
  <c r="AV64" i="51"/>
  <c r="AW49" i="51" s="1"/>
  <c r="AX64" i="51"/>
  <c r="AX65" i="51" s="1"/>
  <c r="AW145" i="51"/>
  <c r="AW149" i="51" s="1"/>
  <c r="AW158" i="51" s="1"/>
  <c r="AW159" i="51" s="1"/>
  <c r="AW88" i="51"/>
  <c r="AW92" i="51" s="1"/>
  <c r="AW101" i="51" s="1"/>
  <c r="AV26" i="51"/>
  <c r="AW11" i="51" s="1"/>
  <c r="AX26" i="51"/>
  <c r="AW107" i="51"/>
  <c r="AW111" i="51" s="1"/>
  <c r="AW120" i="51" s="1"/>
  <c r="AW121" i="51" s="1"/>
  <c r="AW69" i="51"/>
  <c r="AW73" i="51" s="1"/>
  <c r="AW82" i="51" s="1"/>
  <c r="AW83" i="51" s="1"/>
  <c r="AW164" i="51"/>
  <c r="AW168" i="51"/>
  <c r="AW177" i="51" s="1"/>
  <c r="AW178" i="51" s="1"/>
  <c r="AX27" i="51" l="1"/>
  <c r="AW50" i="51"/>
  <c r="AW54" i="51" s="1"/>
  <c r="AW63" i="51" s="1"/>
  <c r="AW64" i="51" s="1"/>
  <c r="AW12" i="51"/>
  <c r="AW16" i="51" s="1"/>
  <c r="AW25" i="51" s="1"/>
  <c r="AW26" i="51" s="1"/>
  <c r="AW102" i="51"/>
  <c r="AX102" i="51"/>
  <c r="AX103" i="51" s="1"/>
  <c r="AW126" i="51"/>
  <c r="AW130" i="51" s="1"/>
  <c r="AW139" i="51" s="1"/>
  <c r="AW140" i="51" s="1"/>
  <c r="Q10" i="51" l="1"/>
  <c r="Q11" i="51"/>
  <c r="Q17" i="51"/>
  <c r="Q19" i="51"/>
  <c r="Q18" i="51"/>
  <c r="Q21" i="51"/>
  <c r="Q13" i="51"/>
  <c r="Q12" i="51"/>
  <c r="Q14" i="51"/>
  <c r="Q15" i="51" l="1"/>
  <c r="G17" i="43" l="1"/>
  <c r="I17" i="43" s="1"/>
  <c r="J17" i="43" s="1"/>
  <c r="N22" i="43"/>
  <c r="P22" i="43" s="1"/>
  <c r="Q22" i="43" s="1"/>
  <c r="G46" i="43"/>
  <c r="N51" i="43"/>
  <c r="G75" i="43"/>
  <c r="H75" i="43" s="1"/>
  <c r="N80" i="43"/>
  <c r="O80" i="43" s="1"/>
  <c r="G104" i="43"/>
  <c r="H104" i="43" s="1"/>
  <c r="N109" i="43"/>
  <c r="E18" i="39"/>
  <c r="K18" i="39"/>
  <c r="O18" i="39"/>
  <c r="O20" i="39"/>
  <c r="O22" i="39" s="1"/>
  <c r="E32" i="39"/>
  <c r="E34" i="39"/>
  <c r="E37" i="39"/>
  <c r="E41" i="39"/>
  <c r="E51" i="39"/>
  <c r="E53" i="39"/>
  <c r="P80" i="43" l="1"/>
  <c r="H17" i="43"/>
  <c r="O22" i="43"/>
  <c r="N23" i="43" s="1"/>
  <c r="G76" i="43"/>
  <c r="I76" i="43" s="1"/>
  <c r="H76" i="43"/>
  <c r="O23" i="43"/>
  <c r="P23" i="43"/>
  <c r="Q23" i="43" s="1"/>
  <c r="O51" i="43"/>
  <c r="P51" i="43"/>
  <c r="Q51" i="43" s="1"/>
  <c r="G105" i="43"/>
  <c r="H105" i="43"/>
  <c r="N81" i="43"/>
  <c r="P81" i="43" s="1"/>
  <c r="H46" i="43"/>
  <c r="I46" i="43"/>
  <c r="J46" i="43" s="1"/>
  <c r="O109" i="43"/>
  <c r="P109" i="43"/>
  <c r="I104" i="43"/>
  <c r="I75" i="43"/>
  <c r="W10" i="39"/>
  <c r="G18" i="43" l="1"/>
  <c r="I18" i="43" s="1"/>
  <c r="J18" i="43" s="1"/>
  <c r="H18" i="43"/>
  <c r="N110" i="43"/>
  <c r="O110" i="43" s="1"/>
  <c r="G47" i="43"/>
  <c r="O81" i="43"/>
  <c r="N52" i="43"/>
  <c r="I105" i="43"/>
  <c r="G77" i="43"/>
  <c r="H77" i="43"/>
  <c r="N24" i="43"/>
  <c r="G106" i="43"/>
  <c r="I106" i="43" s="1"/>
  <c r="W12" i="39"/>
  <c r="E49" i="39"/>
  <c r="E55" i="39" s="1"/>
  <c r="E29" i="39"/>
  <c r="E43" i="39" s="1"/>
  <c r="G19" i="43" l="1"/>
  <c r="I19" i="43" s="1"/>
  <c r="J19" i="43" s="1"/>
  <c r="H19" i="43"/>
  <c r="P52" i="43"/>
  <c r="Q52" i="43" s="1"/>
  <c r="O52" i="43"/>
  <c r="H106" i="43"/>
  <c r="P24" i="43"/>
  <c r="Q24" i="43" s="1"/>
  <c r="G78" i="43"/>
  <c r="I78" i="43" s="1"/>
  <c r="P110" i="43"/>
  <c r="N82" i="43"/>
  <c r="O82" i="43"/>
  <c r="I47" i="43"/>
  <c r="J47" i="43" s="1"/>
  <c r="O24" i="43"/>
  <c r="H47" i="43"/>
  <c r="N111" i="43"/>
  <c r="P111" i="43" s="1"/>
  <c r="I77" i="43"/>
  <c r="E58" i="39"/>
  <c r="E57" i="39"/>
  <c r="G20" i="43" l="1"/>
  <c r="I20" i="43" s="1"/>
  <c r="J20" i="43" s="1"/>
  <c r="H20" i="43"/>
  <c r="G21" i="43" s="1"/>
  <c r="I21" i="43" s="1"/>
  <c r="J21" i="43" s="1"/>
  <c r="G48" i="43"/>
  <c r="H48" i="43" s="1"/>
  <c r="N53" i="43"/>
  <c r="O53" i="43"/>
  <c r="N25" i="43"/>
  <c r="O25" i="43" s="1"/>
  <c r="P82" i="43"/>
  <c r="H21" i="43"/>
  <c r="O111" i="43"/>
  <c r="G107" i="43"/>
  <c r="H107" i="43"/>
  <c r="N83" i="43"/>
  <c r="P83" i="43" s="1"/>
  <c r="H78" i="43"/>
  <c r="O83" i="43" l="1"/>
  <c r="N26" i="43"/>
  <c r="P26" i="43" s="1"/>
  <c r="Q26" i="43" s="1"/>
  <c r="O26" i="43"/>
  <c r="N112" i="43"/>
  <c r="O112" i="43"/>
  <c r="N54" i="43"/>
  <c r="P54" i="43" s="1"/>
  <c r="Q54" i="43" s="1"/>
  <c r="O54" i="43"/>
  <c r="G79" i="43"/>
  <c r="H79" i="43" s="1"/>
  <c r="G108" i="43"/>
  <c r="I108" i="43" s="1"/>
  <c r="H108" i="43"/>
  <c r="P53" i="43"/>
  <c r="Q53" i="43" s="1"/>
  <c r="P25" i="43"/>
  <c r="Q25" i="43" s="1"/>
  <c r="G49" i="43"/>
  <c r="I49" i="43" s="1"/>
  <c r="J49" i="43" s="1"/>
  <c r="N84" i="43"/>
  <c r="O84" i="43"/>
  <c r="I107" i="43"/>
  <c r="G22" i="43"/>
  <c r="H22" i="43"/>
  <c r="I48" i="43"/>
  <c r="J48" i="43" s="1"/>
  <c r="G80" i="43" l="1"/>
  <c r="I80" i="43" s="1"/>
  <c r="H80" i="43"/>
  <c r="G109" i="43"/>
  <c r="H109" i="43"/>
  <c r="N113" i="43"/>
  <c r="P113" i="43" s="1"/>
  <c r="G23" i="43"/>
  <c r="I23" i="43" s="1"/>
  <c r="H23" i="43"/>
  <c r="P112" i="43"/>
  <c r="I22" i="43"/>
  <c r="N85" i="43"/>
  <c r="P85" i="43" s="1"/>
  <c r="P84" i="43"/>
  <c r="H49" i="43"/>
  <c r="N27" i="43"/>
  <c r="O27" i="43" s="1"/>
  <c r="I79" i="43"/>
  <c r="N55" i="43"/>
  <c r="P27" i="43" l="1"/>
  <c r="Q27" i="43" s="1"/>
  <c r="Q34" i="43" s="1"/>
  <c r="N33" i="43"/>
  <c r="O85" i="43"/>
  <c r="G81" i="43"/>
  <c r="H81" i="43"/>
  <c r="S22" i="43"/>
  <c r="J22" i="43"/>
  <c r="G24" i="43"/>
  <c r="I24" i="43" s="1"/>
  <c r="H24" i="43"/>
  <c r="S23" i="43"/>
  <c r="J23" i="43"/>
  <c r="G50" i="43"/>
  <c r="O113" i="43"/>
  <c r="G110" i="43"/>
  <c r="I110" i="43" s="1"/>
  <c r="I109" i="43"/>
  <c r="P55" i="43"/>
  <c r="Q55" i="43" s="1"/>
  <c r="O55" i="43"/>
  <c r="H110" i="43" l="1"/>
  <c r="N56" i="43"/>
  <c r="P56" i="43" s="1"/>
  <c r="Q56" i="43" s="1"/>
  <c r="O56" i="43"/>
  <c r="J24" i="43"/>
  <c r="S24" i="43"/>
  <c r="G82" i="43"/>
  <c r="I82" i="43" s="1"/>
  <c r="H82" i="43"/>
  <c r="I81" i="43"/>
  <c r="N114" i="43"/>
  <c r="O114" i="43" s="1"/>
  <c r="I50" i="43"/>
  <c r="J50" i="43" s="1"/>
  <c r="H50" i="43"/>
  <c r="G25" i="43"/>
  <c r="I25" i="43" s="1"/>
  <c r="N86" i="43"/>
  <c r="G111" i="43" l="1"/>
  <c r="H111" i="43" s="1"/>
  <c r="N115" i="43"/>
  <c r="P115" i="43" s="1"/>
  <c r="P86" i="43"/>
  <c r="O86" i="43"/>
  <c r="G83" i="43"/>
  <c r="I83" i="43" s="1"/>
  <c r="H83" i="43"/>
  <c r="J25" i="43"/>
  <c r="S25" i="43"/>
  <c r="H25" i="43"/>
  <c r="G51" i="43"/>
  <c r="I111" i="43"/>
  <c r="P114" i="43"/>
  <c r="N57" i="43"/>
  <c r="P57" i="43" s="1"/>
  <c r="Q57" i="43" s="1"/>
  <c r="O57" i="43"/>
  <c r="G112" i="43" l="1"/>
  <c r="I112" i="43" s="1"/>
  <c r="H112" i="43"/>
  <c r="N58" i="43"/>
  <c r="P58" i="43" s="1"/>
  <c r="Q58" i="43" s="1"/>
  <c r="O58" i="43"/>
  <c r="G26" i="43"/>
  <c r="I26" i="43" s="1"/>
  <c r="G113" i="43"/>
  <c r="I113" i="43" s="1"/>
  <c r="H113" i="43"/>
  <c r="G84" i="43"/>
  <c r="I84" i="43" s="1"/>
  <c r="H84" i="43"/>
  <c r="N87" i="43"/>
  <c r="P87" i="43" s="1"/>
  <c r="I51" i="43"/>
  <c r="H51" i="43"/>
  <c r="O115" i="43"/>
  <c r="S26" i="43" l="1"/>
  <c r="J26" i="43"/>
  <c r="O87" i="43"/>
  <c r="G85" i="43"/>
  <c r="I85" i="43" s="1"/>
  <c r="H85" i="43"/>
  <c r="G114" i="43"/>
  <c r="I114" i="43" s="1"/>
  <c r="H114" i="43"/>
  <c r="H26" i="43"/>
  <c r="N59" i="43"/>
  <c r="P59" i="43" s="1"/>
  <c r="Q59" i="43" s="1"/>
  <c r="J51" i="43"/>
  <c r="S51" i="43"/>
  <c r="N116" i="43"/>
  <c r="P116" i="43" s="1"/>
  <c r="G52" i="43"/>
  <c r="I52" i="43" s="1"/>
  <c r="H52" i="43"/>
  <c r="O59" i="43" l="1"/>
  <c r="N60" i="43" s="1"/>
  <c r="P60" i="43" s="1"/>
  <c r="Q60" i="43" s="1"/>
  <c r="G115" i="43"/>
  <c r="I115" i="43" s="1"/>
  <c r="G53" i="43"/>
  <c r="I53" i="43" s="1"/>
  <c r="H53" i="43"/>
  <c r="G27" i="43"/>
  <c r="H27" i="43"/>
  <c r="G86" i="43"/>
  <c r="I86" i="43" s="1"/>
  <c r="J52" i="43"/>
  <c r="S52" i="43"/>
  <c r="N88" i="43"/>
  <c r="P88" i="43" s="1"/>
  <c r="O88" i="43"/>
  <c r="O116" i="43"/>
  <c r="I27" i="43" l="1"/>
  <c r="G33" i="43"/>
  <c r="G54" i="43"/>
  <c r="I54" i="43" s="1"/>
  <c r="H115" i="43"/>
  <c r="H86" i="43"/>
  <c r="J53" i="43"/>
  <c r="S53" i="43"/>
  <c r="N117" i="43"/>
  <c r="P117" i="43" s="1"/>
  <c r="N89" i="43"/>
  <c r="P89" i="43" s="1"/>
  <c r="O60" i="43"/>
  <c r="H54" i="43" l="1"/>
  <c r="O89" i="43"/>
  <c r="N90" i="43"/>
  <c r="O90" i="43"/>
  <c r="O117" i="43"/>
  <c r="G87" i="43"/>
  <c r="I87" i="43" s="1"/>
  <c r="H87" i="43"/>
  <c r="G116" i="43"/>
  <c r="I116" i="43" s="1"/>
  <c r="H116" i="43"/>
  <c r="G55" i="43"/>
  <c r="I55" i="43" s="1"/>
  <c r="H55" i="43"/>
  <c r="S54" i="43"/>
  <c r="J54" i="43"/>
  <c r="N61" i="43"/>
  <c r="S27" i="43"/>
  <c r="J27" i="43"/>
  <c r="J34" i="43" s="1"/>
  <c r="S34" i="43" s="1"/>
  <c r="G117" i="43" l="1"/>
  <c r="I117" i="43" s="1"/>
  <c r="H117" i="43"/>
  <c r="G56" i="43"/>
  <c r="I56" i="43" s="1"/>
  <c r="G88" i="43"/>
  <c r="I88" i="43" s="1"/>
  <c r="H88" i="43"/>
  <c r="P61" i="43"/>
  <c r="Q61" i="43" s="1"/>
  <c r="Q63" i="43" s="1"/>
  <c r="N62" i="43"/>
  <c r="S55" i="43"/>
  <c r="J55" i="43"/>
  <c r="N118" i="43"/>
  <c r="P118" i="43" s="1"/>
  <c r="O118" i="43"/>
  <c r="O61" i="43"/>
  <c r="P90" i="43"/>
  <c r="P92" i="43" s="1"/>
  <c r="N91" i="43"/>
  <c r="H56" i="43" l="1"/>
  <c r="G57" i="43"/>
  <c r="I57" i="43" s="1"/>
  <c r="N119" i="43"/>
  <c r="G118" i="43"/>
  <c r="I118" i="43" s="1"/>
  <c r="H118" i="43"/>
  <c r="G89" i="43"/>
  <c r="I89" i="43" s="1"/>
  <c r="H89" i="43"/>
  <c r="J56" i="43"/>
  <c r="S56" i="43"/>
  <c r="H57" i="43" l="1"/>
  <c r="G90" i="43"/>
  <c r="G119" i="43"/>
  <c r="H119" i="43" s="1"/>
  <c r="P119" i="43"/>
  <c r="P121" i="43" s="1"/>
  <c r="N120" i="43"/>
  <c r="O119" i="43"/>
  <c r="G58" i="43"/>
  <c r="I58" i="43" s="1"/>
  <c r="H58" i="43"/>
  <c r="J57" i="43"/>
  <c r="S57" i="43"/>
  <c r="I90" i="43" l="1"/>
  <c r="I92" i="43" s="1"/>
  <c r="S92" i="43" s="1"/>
  <c r="G91" i="43"/>
  <c r="S58" i="43"/>
  <c r="J58" i="43"/>
  <c r="I119" i="43"/>
  <c r="I121" i="43" s="1"/>
  <c r="S121" i="43" s="1"/>
  <c r="S124" i="43" s="1"/>
  <c r="G120" i="43"/>
  <c r="G59" i="43"/>
  <c r="I59" i="43" s="1"/>
  <c r="H90" i="43"/>
  <c r="S59" i="43" l="1"/>
  <c r="J59" i="43"/>
  <c r="H59" i="43"/>
  <c r="G60" i="43" l="1"/>
  <c r="I60" i="43" s="1"/>
  <c r="J60" i="43" l="1"/>
  <c r="S60" i="43"/>
  <c r="H60" i="43"/>
  <c r="G61" i="43" l="1"/>
  <c r="I61" i="43" l="1"/>
  <c r="G62" i="43"/>
  <c r="H61" i="43"/>
  <c r="J61" i="43" l="1"/>
  <c r="J63" i="43" s="1"/>
  <c r="S63" i="43" s="1"/>
  <c r="S61" i="43"/>
</calcChain>
</file>

<file path=xl/sharedStrings.xml><?xml version="1.0" encoding="utf-8"?>
<sst xmlns="http://schemas.openxmlformats.org/spreadsheetml/2006/main" count="1718" uniqueCount="223">
  <si>
    <t>N/A</t>
  </si>
  <si>
    <t>Source:</t>
  </si>
  <si>
    <t>Service</t>
  </si>
  <si>
    <t>Age</t>
  </si>
  <si>
    <t>Question 1</t>
  </si>
  <si>
    <t>Question 2</t>
  </si>
  <si>
    <t>Participant Data</t>
  </si>
  <si>
    <t>Question 1(b)</t>
  </si>
  <si>
    <t>n/a</t>
  </si>
  <si>
    <t>Question 1(a)</t>
  </si>
  <si>
    <t>Question 2(a)</t>
  </si>
  <si>
    <t>Question 2(b)</t>
  </si>
  <si>
    <t>Scenario 1</t>
  </si>
  <si>
    <t>Scenario 2</t>
  </si>
  <si>
    <t>Scenario 3</t>
  </si>
  <si>
    <t>Scenario 4</t>
  </si>
  <si>
    <t>Investment Return</t>
  </si>
  <si>
    <t>Discount Rate</t>
  </si>
  <si>
    <t>Equity Return</t>
  </si>
  <si>
    <t>Mean</t>
  </si>
  <si>
    <t xml:space="preserve">     Annual Earnings</t>
  </si>
  <si>
    <t xml:space="preserve">         Age</t>
  </si>
  <si>
    <r>
      <t xml:space="preserve">Your team is preparing retirement calculations for a participant retiring at age 67.0.  You are provided the following information:
</t>
    </r>
    <r>
      <rPr>
        <b/>
        <sz val="11"/>
        <color theme="1"/>
        <rFont val="Calibri"/>
        <family val="2"/>
        <scheme val="minor"/>
      </rPr>
      <t>Benefit Provisions</t>
    </r>
    <r>
      <rPr>
        <sz val="11"/>
        <color theme="1"/>
        <rFont val="Calibri"/>
        <family val="2"/>
        <scheme val="minor"/>
      </rPr>
      <t xml:space="preserve">
      •	  Normal retirement age: 65
      •	  Normal retirement benefit: 1.5% x Final 5-Year Average Earnings x Service
      •	  Postponed retirement benefit is the greater of:
                    a)  Normal retirement benefit based on earnings and service at retirement
                    b)  The actuarial equivalent the normal retirement benefit determined at age 65
                    For actuarial equivalence, the plan assumes no death benefit is payable beyond age 65 until retirement.
       •  	  Actuarial equivalence assumptions
                  o  Interest rate: 5.0%
                  o  Mortality: unisex table determined in accordance with statutory requirements
       •	  Normal form of payment (payable monthly): 
                  o  Single life annuity
       •	  Optional forms of payment (payable monthly):
                  o   100% joint and survivor annuity with the first 60 months of payments guaranteed
                  o   Level income benefit that is integrated with the participant's government retirement benefit
</t>
    </r>
    <r>
      <rPr>
        <b/>
        <sz val="11"/>
        <color theme="1"/>
        <rFont val="Calibri"/>
        <family val="2"/>
        <scheme val="minor"/>
      </rPr>
      <t>Participant Data</t>
    </r>
    <r>
      <rPr>
        <sz val="11"/>
        <color theme="1"/>
        <rFont val="Calibri"/>
        <family val="2"/>
        <scheme val="minor"/>
      </rPr>
      <t xml:space="preserve">
      •         Service
                o  Age 65: 25 years
                o  Age 67: 27 years
       •      Annual earnings (also provided seprarately in the table)
       •      Spouse’s age: 2.0 years younger than the retiree 
</t>
    </r>
    <r>
      <rPr>
        <b/>
        <sz val="11"/>
        <color theme="1"/>
        <rFont val="Calibri"/>
        <family val="2"/>
        <scheme val="minor"/>
      </rPr>
      <t xml:space="preserve">Government Retirement Benefit
</t>
    </r>
    <r>
      <rPr>
        <sz val="11"/>
        <color theme="1"/>
        <rFont val="Calibri"/>
        <family val="2"/>
        <scheme val="minor"/>
      </rPr>
      <t xml:space="preserve">      •      This participant will receive a single life annuity of $1,500 per month commencing at age 70
</t>
    </r>
    <r>
      <rPr>
        <b/>
        <sz val="11"/>
        <color theme="1"/>
        <rFont val="Calibri"/>
        <family val="2"/>
        <scheme val="minor"/>
      </rPr>
      <t>Questions</t>
    </r>
    <r>
      <rPr>
        <sz val="11"/>
        <color theme="1"/>
        <rFont val="Calibri"/>
        <family val="2"/>
        <scheme val="minor"/>
      </rPr>
      <t xml:space="preserve">
    1)  Calculate the participant’s postponed retirement benefit
    2)  Calculate both optional forms of payments
          a.  100% joint and survivor annuity with the first 60 months of payments guaranteed
                 i.  The participant’s spouse will receive the survivor benefit
          b.  Level income benefit that is integrated with the participant’s government retirement benefit
</t>
    </r>
  </si>
  <si>
    <t>Benefit after age 70</t>
  </si>
  <si>
    <t>Benefit before from age 67 until age 70</t>
  </si>
  <si>
    <t>Step 4</t>
  </si>
  <si>
    <t>Solve for lifetime portion of the optional form of payment</t>
  </si>
  <si>
    <t>Step 3</t>
  </si>
  <si>
    <t xml:space="preserve">          x 12</t>
  </si>
  <si>
    <t xml:space="preserve">     Actuarial present value of life portion:</t>
  </si>
  <si>
    <t>- p67 x p68 x p69 x V^3 x           ) x 1,500 x 12</t>
  </si>
  <si>
    <t xml:space="preserve">     Actuarial present value of temporary benefit:  (</t>
  </si>
  <si>
    <t>Step 2</t>
  </si>
  <si>
    <t xml:space="preserve">     Actuarial present value age 67 benefit: 37,997 x </t>
  </si>
  <si>
    <t>Step 1</t>
  </si>
  <si>
    <t>Equate actuarial present values and solve for missing variable, B.</t>
  </si>
  <si>
    <t>Question 2(b): Calculate level income option</t>
  </si>
  <si>
    <t>Solve for optional form of payment</t>
  </si>
  <si>
    <t xml:space="preserve">        (1 - (p67 x p68 x p69 x p70 x p71)) x (p65 x p66 x p67 x p68 x p69)) x V^5 x </t>
  </si>
  <si>
    <t xml:space="preserve">      Actuarial value if ony the spouse survives to the end of guarantee period</t>
  </si>
  <si>
    <t>Interest rate</t>
  </si>
  <si>
    <t xml:space="preserve">        (p67 x p68 x p69 x p70 x p71) x (1 - (p65 x p66 x p67 x p68 x p69)) x V^5 x </t>
  </si>
  <si>
    <t xml:space="preserve">      Actuarial value if ony the retiree survives to the end of guarantee period</t>
  </si>
  <si>
    <t xml:space="preserve">        (p67 x p68 x p69 x p70 x p71) x (p65 x p66 x p67 x p68 x p69) x V^5 x </t>
  </si>
  <si>
    <t xml:space="preserve">      Actuarial value if both survive to end of guarantee period</t>
  </si>
  <si>
    <t xml:space="preserve">      Present value of guarantee portion</t>
  </si>
  <si>
    <t xml:space="preserve">  </t>
  </si>
  <si>
    <t xml:space="preserve">    Note, mortality is unisex.  </t>
  </si>
  <si>
    <t>Question 2(a): Calculate the 100% J&amp;S annuity with 60 months guaranteed</t>
  </si>
  <si>
    <t xml:space="preserve">     Solve for B</t>
  </si>
  <si>
    <t xml:space="preserve">     Actuarial present value age 67 benefit: B x p65 x p 66 x V^2 x </t>
  </si>
  <si>
    <t xml:space="preserve">     Actuarial present value age 65 benefit: NRB(age 65) x </t>
  </si>
  <si>
    <t>NRB</t>
  </si>
  <si>
    <t>Payable monthly</t>
  </si>
  <si>
    <t>Max(Age 67 NRB, AE  of age 65 NRB)</t>
  </si>
  <si>
    <t>Age 67 Benefit</t>
  </si>
  <si>
    <t>Actuarially Equivalent value of Age 65 NRB payable at Age 67</t>
  </si>
  <si>
    <t xml:space="preserve">      Normal Retirement Benefit payable at age 67</t>
  </si>
  <si>
    <t xml:space="preserve">      Normal Retirement Benefit payable at age 65</t>
  </si>
  <si>
    <t>Question 1: Calculate Postponed Age 67 benefit</t>
  </si>
  <si>
    <t>RET201-103-25: Actuarial Equivalence Calcuations</t>
  </si>
  <si>
    <t>Early and Late Ret Factors</t>
  </si>
  <si>
    <r>
      <t>·</t>
    </r>
    <r>
      <rPr>
        <sz val="7"/>
        <color theme="1"/>
        <rFont val="Times New Roman"/>
        <family val="1"/>
      </rPr>
      <t xml:space="preserve">         </t>
    </r>
    <r>
      <rPr>
        <sz val="11"/>
        <color theme="1"/>
        <rFont val="Aptos"/>
        <family val="2"/>
      </rPr>
      <t>Proposed retirement assumption: same as actives</t>
    </r>
  </si>
  <si>
    <r>
      <t>·</t>
    </r>
    <r>
      <rPr>
        <sz val="7"/>
        <color theme="1"/>
        <rFont val="Times New Roman"/>
        <family val="1"/>
      </rPr>
      <t xml:space="preserve">         </t>
    </r>
    <r>
      <rPr>
        <sz val="11"/>
        <color theme="1"/>
        <rFont val="Aptos"/>
        <family val="2"/>
      </rPr>
      <t>Current retirement assumption: 100% retirement at age 65</t>
    </r>
  </si>
  <si>
    <t>Vested Terms</t>
  </si>
  <si>
    <t>Proposed Retirement Assumption</t>
  </si>
  <si>
    <t>Current Retirement Assumption</t>
  </si>
  <si>
    <t xml:space="preserve">Total Actuarial Liability </t>
  </si>
  <si>
    <t>Total Retired</t>
  </si>
  <si>
    <t xml:space="preserve">Actives and Vested Terms </t>
  </si>
  <si>
    <t>Present Value of Benefit Payments</t>
  </si>
  <si>
    <t xml:space="preserve">Number of Non-Retired </t>
  </si>
  <si>
    <t>Number of Retirements</t>
  </si>
  <si>
    <t>Monthly Benefit</t>
  </si>
  <si>
    <t xml:space="preserve">Count </t>
  </si>
  <si>
    <t>VTs</t>
  </si>
  <si>
    <t xml:space="preserve">Actives </t>
  </si>
  <si>
    <r>
      <rPr>
        <b/>
        <sz val="11"/>
        <color theme="1"/>
        <rFont val="Calibri"/>
        <family val="2"/>
        <scheme val="minor"/>
      </rPr>
      <t>Question 2(a)</t>
    </r>
    <r>
      <rPr>
        <sz val="11"/>
        <color theme="1"/>
        <rFont val="Calibri"/>
        <family val="2"/>
        <scheme val="minor"/>
      </rPr>
      <t xml:space="preserve">
Regarding the active population, it depends on what past experience suggests.  Legacy participants are incentivized to commence at 62.  However, the legacy benefit may not be valuable enough relative to the participant’s accumulated cash balance to drive an early retirement pattern.
The vested terminated population on other hand has no incentive to defer their commencement past age 62.  As a result, a 100% assumption at 62 is more appropriate.  Having said this, I recommend reviewing past experience and developing a table of rates instead of a single rate since it may show a disbursed retirement pattern before and after age 62, which would represent a more realistic cash flow expectations pattern.
</t>
    </r>
    <r>
      <rPr>
        <b/>
        <sz val="11"/>
        <color theme="1"/>
        <rFont val="Calibri"/>
        <family val="2"/>
        <scheme val="minor"/>
      </rPr>
      <t>Question 2(d)</t>
    </r>
    <r>
      <rPr>
        <sz val="11"/>
        <color theme="1"/>
        <rFont val="Calibri"/>
        <family val="2"/>
        <scheme val="minor"/>
      </rPr>
      <t xml:space="preserve">
As discussed in Question 1, setting the active and vested terminated retirement assumptions independently is important.  Further, the actuary should consider different retirement assumptions for different subpopulations.  Regarding the latter, not doing in this example would undervalue the legacy liability approximately $6.5 million (or equivalently undervalue the liability by approximately 15%).</t>
    </r>
  </si>
  <si>
    <t>Question 2(c)</t>
  </si>
  <si>
    <t xml:space="preserve">Questions 2(a) and 2(d) </t>
  </si>
  <si>
    <t>Projected Benefit Payments</t>
  </si>
  <si>
    <t xml:space="preserve">Cash balance </t>
  </si>
  <si>
    <t xml:space="preserve">Conclusions:
1)  Although the actuarial it may provide a reasonable actuarial liability, an outdated active decrement table and a single VT decrement rate may be problematic for investment advisors when developing an investment strategy, as can be seen within  the projected benefit payment differences.
2)  As described, the retirement assumption can have a significant impact on the timing of future projected cash flows.  Although not seen here, the projected timing of future projected cash flows can in turn can have a significant impact on the liability (e.g., early retirement subsidies).
3)  Reviewing the retirement assumption independently for actives and VTs is important. 
  </t>
  </si>
  <si>
    <t>Question 1(c)</t>
  </si>
  <si>
    <t>Interest Crediting Rate</t>
  </si>
  <si>
    <t>Standard Table Mortality Rates q(x)</t>
  </si>
  <si>
    <t xml:space="preserve"> Actual Deaths</t>
  </si>
  <si>
    <t>Exposures</t>
  </si>
  <si>
    <t>Age x</t>
  </si>
  <si>
    <t>Relevant Experience</t>
  </si>
  <si>
    <t>Total</t>
  </si>
  <si>
    <t>Year 5</t>
  </si>
  <si>
    <t>Year 4</t>
  </si>
  <si>
    <t>Year 3</t>
  </si>
  <si>
    <t xml:space="preserve">Year 2  </t>
  </si>
  <si>
    <t>Year 1</t>
  </si>
  <si>
    <t xml:space="preserve">You are reviewing the post-retirement mortality assumption for a defined benefit plan (i.e., from age 55 and above) and have been provided the information in the table to the right.
   1)  Using this information, develop head-count weighted mortality rates for 
         ages 55+ under the following approaches:
         a)  Limited Fluctuation Credibility Theory (LFCT)
               Number of deaths needed for full credibility: 1,537
               •  Based on full credibility parameters your firm uses: p=95%, r=5%; 
         b)  Greatest Accuracy Credibility Theory (GACT)
               Model to use: Buhlmann
               Your friend helped develop the standard mortality table provided within this worksheet
               and has access to the table’s data.  As a result, you provide him the plan’s experience
               and he came back with the following parameters that you need to run the Buhlmann
               model:
                •  The mean is 1.0 (actual deaths / expected deaths)
                •  The variance of the hypothetical mean is 0.00097 (variance between companies)             
  2)  Within one graph, show the following:
        a)  Subject experience (aggregate years)
        b)  Standard mortality rates
        c)  GACT mortality rates 
        d)  LFCT mortality rates
   3)  Explain the factors affecting the Z weighting under the GACT.  </t>
  </si>
  <si>
    <t>Adjusted Mortality Rates
q(x)</t>
  </si>
  <si>
    <t>Expected Deaths</t>
  </si>
  <si>
    <t>Ratio Actual/Expected</t>
  </si>
  <si>
    <t>Subject Experience Mortality Rates
q(x)</t>
  </si>
  <si>
    <t>Actual Deaths</t>
  </si>
  <si>
    <t>Year 2</t>
  </si>
  <si>
    <t>z = n / (n + k)</t>
  </si>
  <si>
    <t>n (number of experience periods)</t>
  </si>
  <si>
    <t>Z:</t>
  </si>
  <si>
    <t>K</t>
  </si>
  <si>
    <t>Number of deaths need for full credibility:</t>
  </si>
  <si>
    <t>Variance of Hypothetical Mean</t>
  </si>
  <si>
    <t>f-hat:</t>
  </si>
  <si>
    <t>Process Variance</t>
  </si>
  <si>
    <t>Limited Fluctuation Credibility Theory</t>
  </si>
  <si>
    <r>
      <rPr>
        <b/>
        <sz val="11"/>
        <color theme="1"/>
        <rFont val="Calibri"/>
        <family val="2"/>
        <scheme val="minor"/>
      </rPr>
      <t xml:space="preserve">Question 3: Explain the factors affecting the Z weighting under the GACT.  </t>
    </r>
    <r>
      <rPr>
        <sz val="11"/>
        <color theme="1"/>
        <rFont val="Calibri"/>
        <family val="2"/>
        <scheme val="minor"/>
      </rPr>
      <t xml:space="preserve">
The number of years of subject experience studied affects the weighting.  The greater the number of years studied, the greater the weighting towards the subject experience.  The variance of the process variance relative to the variance of the hypothetical mean also affects the weighting.  The greater the process variance relative to the variance of the hypothetical mean the lower the subject experience’s weighting.</t>
    </r>
  </si>
  <si>
    <t>A/E Ratio</t>
  </si>
  <si>
    <t xml:space="preserve">Experience Study Year </t>
  </si>
  <si>
    <t>Subject</t>
  </si>
  <si>
    <t>Greatest Accuracy Credibility Theory</t>
  </si>
  <si>
    <t>Credibility Educational Resource for Pension Actuaries, SOA, August 2017</t>
  </si>
  <si>
    <t>Scenario from Study Note</t>
  </si>
  <si>
    <t>Scenario 5</t>
  </si>
  <si>
    <t>Scenario 6</t>
  </si>
  <si>
    <t>Scenario 7</t>
  </si>
  <si>
    <t xml:space="preserve">12/31/16 Balance Sheet Information </t>
  </si>
  <si>
    <t>Before Curtailment</t>
  </si>
  <si>
    <t>Effect of Curtailment</t>
  </si>
  <si>
    <t>After Curtailment</t>
  </si>
  <si>
    <t xml:space="preserve">   VBO</t>
  </si>
  <si>
    <t xml:space="preserve">   ABO</t>
  </si>
  <si>
    <t xml:space="preserve">   PBO </t>
  </si>
  <si>
    <t xml:space="preserve">   FV Assets</t>
  </si>
  <si>
    <t xml:space="preserve">   Pension Asset / (Liability)</t>
  </si>
  <si>
    <t xml:space="preserve">   Accumulated Other Comprehensive Income (AOCI)</t>
  </si>
  <si>
    <t xml:space="preserve">       Unrecognized Net Transition (Asset) / Obligation</t>
  </si>
  <si>
    <t>TBD</t>
  </si>
  <si>
    <t xml:space="preserve">       Unrecognized Prior Service (Credit) / Cost</t>
  </si>
  <si>
    <t xml:space="preserve">       Unrecognized Net (Gain) / Loss</t>
  </si>
  <si>
    <t xml:space="preserve">       AOCI</t>
  </si>
  <si>
    <t xml:space="preserve">   (Accrued) Prepaid Pension Cost</t>
  </si>
  <si>
    <t xml:space="preserve">   Impact of Curtailment on Net Pension Expense (Income) / Cost</t>
  </si>
  <si>
    <r>
      <rPr>
        <b/>
        <sz val="11"/>
        <color theme="1"/>
        <rFont val="Calibri"/>
        <family val="2"/>
        <scheme val="minor"/>
      </rPr>
      <t>Comments regarding the solution:</t>
    </r>
    <r>
      <rPr>
        <sz val="11"/>
        <color theme="1"/>
        <rFont val="Calibri"/>
        <family val="2"/>
        <scheme val="minor"/>
      </rPr>
      <t xml:space="preserve">
    -  The Net Transition Asset (NTA) is treated as an unrecognized gain
    -  The plan has a combined unrecognized loss of $6.6 M ($7.0 M - $0.4 M)
         -  As a result, the unrecognized loss is offset by the gain and remaing gain of $1 M is 
            recognized
    -  The Unrecognized Prior Service Cost $0.3 M is fully recognized
-  A net curtailment income of $0.7 M is recognized [$1.0 M - $0.3M]</t>
    </r>
  </si>
  <si>
    <r>
      <rPr>
        <b/>
        <sz val="11"/>
        <color theme="1"/>
        <rFont val="Calibri"/>
        <family val="2"/>
        <scheme val="minor"/>
      </rPr>
      <t>Comments regarding the solution:</t>
    </r>
    <r>
      <rPr>
        <sz val="11"/>
        <color theme="1"/>
        <rFont val="Calibri"/>
        <family val="2"/>
        <scheme val="minor"/>
      </rPr>
      <t xml:space="preserve">
  -  The impact of full vesting does not affect the balance sheet liability; that is, it
      does not affect the unfunded PBO.  However, whereas potential non-vested
      termination actuarial gains would have existed in the absence of the plan freeze
      (i.e., to the extent participants termianted before becoming vested), those 
      future potential actuarial gains no longer exist.     
  - Both the The Net Transition Obligation (NTO) of $0.5 M and Unrecognized Prior 
     Service Cost $0.3 M are fully recognized
   -  The plan has an unrecognized loss of $4.5 M, which exceeds the $2.0 gain.  As a 
       result, the gain offsets the unrecognized loss and none of the gain is recognized
  -  A net curtailment charge of $0.8 M is recognized [$0.5 M + $0.3M]</t>
    </r>
  </si>
  <si>
    <r>
      <rPr>
        <b/>
        <sz val="11"/>
        <color theme="1"/>
        <rFont val="Calibri"/>
        <family val="2"/>
        <scheme val="minor"/>
      </rPr>
      <t>Comments regarding the solution:</t>
    </r>
    <r>
      <rPr>
        <sz val="11"/>
        <color theme="1"/>
        <rFont val="Calibri"/>
        <family val="2"/>
        <scheme val="minor"/>
      </rPr>
      <t xml:space="preserve">
  - The NTA of $0.7 M is treated as an unrecognized gain 
     -  The plan has a combined unrecognized gain $0.2 M ($0.7 M - $0.5 M)
          -  As a result, the entire curtailment gain of $2.0 M is recognized
   - The unrecognized prior service credit of $0.3 M is fully recognized 
  -  A net curtailment income of $2.3 M is recognized [$2.0 M + $0.3M]</t>
    </r>
  </si>
  <si>
    <r>
      <rPr>
        <b/>
        <sz val="11"/>
        <color theme="1"/>
        <rFont val="Calibri"/>
        <family val="2"/>
        <scheme val="minor"/>
      </rPr>
      <t>Comments regarding the solution:</t>
    </r>
    <r>
      <rPr>
        <sz val="11"/>
        <color theme="1"/>
        <rFont val="Calibri"/>
        <family val="2"/>
        <scheme val="minor"/>
      </rPr>
      <t xml:space="preserve">
     -  The curtailment gain of $7.0 M exceeds the plan's unrecognized loss of $4.5 M.
         As a result, the $4.5 M loss offsets the curtailment gain and the remaining  
         curtailment gain of $2.5 M is recognized
     -  The unrecognized prior service credit of $0.4 M is fully recognized
      -  A net income of $2.9 M is recognized [$2.5 M + $0.4M]</t>
    </r>
  </si>
  <si>
    <r>
      <rPr>
        <b/>
        <sz val="11"/>
        <color theme="1"/>
        <rFont val="Calibri"/>
        <family val="2"/>
        <scheme val="minor"/>
      </rPr>
      <t>Comments regarding the solution:</t>
    </r>
    <r>
      <rPr>
        <sz val="11"/>
        <color theme="1"/>
        <rFont val="Calibri"/>
        <family val="2"/>
        <scheme val="minor"/>
      </rPr>
      <t xml:space="preserve">
     -  The plan has an unrecognized gain.  As a result, the $7.0 M curtailment gain is
         fully recognized
     -  The unrecognized prior service credit of $0.4 M is fully recognized
      -  A net income of $7.4 M is recognized [$7.0 M + $0.4M]</t>
    </r>
  </si>
  <si>
    <r>
      <rPr>
        <b/>
        <sz val="11"/>
        <color theme="1"/>
        <rFont val="Calibri"/>
        <family val="2"/>
        <scheme val="minor"/>
      </rPr>
      <t>Comments regarding the solution:</t>
    </r>
    <r>
      <rPr>
        <sz val="11"/>
        <color theme="1"/>
        <rFont val="Calibri"/>
        <family val="2"/>
        <scheme val="minor"/>
      </rPr>
      <t xml:space="preserve">
    -  There is no reduction in PBO; that is, there is no curtailment gain
     -  The unrecognized prior service credit of $0.4 M is fully recognized
      -  A net income of $0.4 M is recognized</t>
    </r>
  </si>
  <si>
    <r>
      <rPr>
        <b/>
        <sz val="11"/>
        <color theme="1"/>
        <rFont val="Calibri"/>
        <family val="2"/>
        <scheme val="minor"/>
      </rPr>
      <t>Comments regarding the solution:</t>
    </r>
    <r>
      <rPr>
        <sz val="11"/>
        <color theme="1"/>
        <rFont val="Calibri"/>
        <family val="2"/>
        <scheme val="minor"/>
      </rPr>
      <t xml:space="preserve">
    -  There is no reduction in PBO; that is, there is no curtailment gain
      - Both the The Net Transition Obligation (NTO) of $0.2 M and Unrecognized Prior 
         Service Cost $0.3 M are fully recognized
      -  A net income of $0.5 M is recognized [$0.2 M + $0.5]</t>
    </r>
  </si>
  <si>
    <t>RET201-109-25: Plan Curtailments &amp; Settlements Under FASB ASC Topic 715 Relating to Plan Terminations, Part 1</t>
  </si>
  <si>
    <t xml:space="preserve">Company XYZ sponsors Plan A.  On December 31, XX Plan A will be split into two plans.  Using the information provided, answer the following questions: 
  1)  Describe the accounting treatment of a funded plan that is split into two 
        plans under the following scenarios:
        a)  Both plans are controlled / sponsored by Company XYZ
        b)  Company XYZ is divesting a portion of its business.  Plan A's transferred 
              liabilities and assets will be sponsored by the organization purchasing 
              the divested business (i.e., the Buyer).
        Plan A covers hourly employees and benefit accruals are not based on pay.        
        Participants will continue to earn the same level of benefits following the plan
        split (i.e., no reduction in future benefits for the active participants remainaing
        in Plan A and no reduction for those transferring to the new plan).
2)  Determine the following for each of the sceanrios described in Question 1:
      a) Company XYZ's December 31, XX balance sheet and market related value of 
           assets following the plan split.
      b) The impact, if applicable of the plan split on Company XYZ's FYE XX Net 
           Periodic Pension Cost (NPPC)
     </t>
  </si>
  <si>
    <t xml:space="preserve">Company XYZ 12/31/XX Balance Sheet Information </t>
  </si>
  <si>
    <t>Plan A Before Split</t>
  </si>
  <si>
    <t>Transfer to New Plan</t>
  </si>
  <si>
    <t xml:space="preserve">Plan A After Split </t>
  </si>
  <si>
    <t>Additional Plan Information</t>
  </si>
  <si>
    <t xml:space="preserve">   Average Future Service</t>
  </si>
  <si>
    <t xml:space="preserve">Asset Accounting Policies </t>
  </si>
  <si>
    <t xml:space="preserve">   Market Related Value of Assets: 5-year smoothing</t>
  </si>
  <si>
    <t>Scenario 1(a): Both Plans Maintained by Company XYZ</t>
  </si>
  <si>
    <t>Scenario 1(b): Plan A Split due to Divestiture</t>
  </si>
  <si>
    <t xml:space="preserve">Question 1:
        a)  Both plans are controlled / sponsored by Company XYZ.  As a result, the
              average future service for Plan A's active population is unaffected.  Further, 
              benefits have not been reduced for either group (i.e., benefits for those 
              remaining in Plan A and those transferring to the new Plan B).  As a result, 
              curtailment accounting is not triggered.
              The unrecognized gain / loss should be allocated between the two plans
              in proportion to the PBO split.  The same is also true regarding the
              unrecognized prior service cost unless the bases were tracked at the
              individual level.  We are not provided bases at the individual level, so
              the unrecognized prior service cost will be allocated in proporation to the
              PBO split.  
              The MRVA should be split by allocating the deferred asset gain / loss in
              proporation to the fair value of assets split.
        b)  Company XYZ is divesting a portion of its business.  Plan A's transferred 
              liabilities and assets will be sponsored by the organization purchasing 
              the divested business (i.e., the Buyer).
             Although benefits have not been reduced, Plan A triggers curtailment
             accounting given a significant reduction (27%) in average future service has
             occured from a Company XYZ controlled group perspective.
            Although there has not been an irrevocable settlement (i.e., lump sum
            payment or annuity purchase), the sale should be accounted for using 
            settlement accounting given the benefits and assets have been transferred to
            another entity (i.e., removed from its balance sheet) which is similar to a 
            settlement event.
     </t>
  </si>
  <si>
    <t xml:space="preserve">New Plan B After Split </t>
  </si>
  <si>
    <t>Both Plans A and B</t>
  </si>
  <si>
    <t>NPPC Charge / (Income)</t>
  </si>
  <si>
    <t>RET201-112-25: Accounting for Plan Splits &amp; Plan Mergers Under U.S. GAAP</t>
  </si>
  <si>
    <t>LDI: Long Duration Bond Return</t>
  </si>
  <si>
    <t>Aggregate Fixed Income Return</t>
  </si>
  <si>
    <t>Scenario 10</t>
  </si>
  <si>
    <t>Scenario 9</t>
  </si>
  <si>
    <t>Scenario 8</t>
  </si>
  <si>
    <t>Funded Percentage</t>
  </si>
  <si>
    <t>Standard Deviation Contribution</t>
  </si>
  <si>
    <t>FVA</t>
  </si>
  <si>
    <t>ABO</t>
  </si>
  <si>
    <t>Max Contribution</t>
  </si>
  <si>
    <t>Mean Contribution</t>
  </si>
  <si>
    <t>Annual Benefit Payments</t>
  </si>
  <si>
    <t>Min Contribution</t>
  </si>
  <si>
    <t xml:space="preserve">Annual Contribution </t>
  </si>
  <si>
    <t>Duration</t>
  </si>
  <si>
    <t>Year 5 Frequency</t>
  </si>
  <si>
    <t>Year 4 Frequency</t>
  </si>
  <si>
    <t>Year 3 Frequency</t>
  </si>
  <si>
    <t>Year 2 Frequency</t>
  </si>
  <si>
    <t>Year 1 Frequency</t>
  </si>
  <si>
    <t>Glide Path</t>
  </si>
  <si>
    <t>Full LDI</t>
  </si>
  <si>
    <t>Current: 60/40</t>
  </si>
  <si>
    <t>Agg Fixed Income Allocation</t>
  </si>
  <si>
    <t xml:space="preserve">Asset Allocation </t>
  </si>
  <si>
    <t>Equity Allocation</t>
  </si>
  <si>
    <t>Year 0</t>
  </si>
  <si>
    <t xml:space="preserve">Sample Projection Model </t>
  </si>
  <si>
    <t xml:space="preserve">       Year 5</t>
  </si>
  <si>
    <t xml:space="preserve">       Year 4</t>
  </si>
  <si>
    <t xml:space="preserve">       Year 3</t>
  </si>
  <si>
    <t xml:space="preserve">       Year 2</t>
  </si>
  <si>
    <t xml:space="preserve">       Year 1</t>
  </si>
  <si>
    <t xml:space="preserve">  Annual Benefit Payments</t>
  </si>
  <si>
    <t xml:space="preserve">    Annual Contribution</t>
  </si>
  <si>
    <t xml:space="preserve">    FVA</t>
  </si>
  <si>
    <t xml:space="preserve">    ABO</t>
  </si>
  <si>
    <t xml:space="preserve">LDI: Long Duration Bond </t>
  </si>
  <si>
    <t>Equities</t>
  </si>
  <si>
    <t xml:space="preserve">Plan Information </t>
  </si>
  <si>
    <t>Glide Path ABO Basis</t>
  </si>
  <si>
    <t xml:space="preserve">The plan sponsor should consider a more robust analysis; stochastic modeling with more scenarios and additional glide path designs.  Having said this, some high level observations can be learned from the current analysis.
The full LDI is the most the most risk averse approach, which is an appropriate strategy if the plan sponsor wants to fund the budgeted contribution of $125 M with the smallest amount of risk (i.e., lowest deviation).  However, the sponsor should review and recalibrate the LDI portfolio more frequently than annually  (e.g., twice a year or more often if economic conditions change significantly).   There is no way to develop a perfect hedge.  For example, consider the plan did not reach 110% at year 5 under any scenario.  Appropriate monitoring and recalibrating (e.g., remeasuing the plan's duration and liability profile more frequently) would presumably put them closer to the budgeted $125 M of funding at the end of 5 years with a reduced standard deviation. 
If the plan sponsor is willing to take on some risk, then they should consider a strategy other than full LDI.  Doing so could signficantly reduce their funding.  For example, the maximum contribution scenario under their current asset strategy and glide path strategy is significantly less than the mean LDI strategy.  However, the glide path should be remeasured more frequently than annually given the funded status can change rapidly.  For example, consider the rapid change in funded status within scenarios 6 and 7.  Depending on the plan sponsor's risk tolerance, they may prefer continuing with their current strategy given the risk is slightly higher than the glide path but the upside potential is better (e.g., lower min, mean and max).  However, they may prefer the glide path strategy over maintaining their current 60/40 strategy given the mean contribution under the glide path strategy is modestly higher while the contribution risk is less (e.g., the plan is expected to be able to teriminate at the end of year 4 under most of the scenarios).
Completing a stochastic analysis should enable the plan sponsor to see a better picture of the differences between the three asset allocations, and in particular a better picture of the risk / return trade-off between their current asset allocation strategy and a glide path strategy.
</t>
  </si>
  <si>
    <t>RET201-115-25: Charting the Course: a framework to evaluate pension de-risking strategies</t>
  </si>
  <si>
    <r>
      <t xml:space="preserve">You are reviewing the retirement assumptions for a cash balance defined benefit plan and will recommend the plan sponsor modify their retirement assumptions.  The plan’s current and proposed assumptions are provided to the right.
You are also provided the following information:
</t>
    </r>
    <r>
      <rPr>
        <b/>
        <sz val="11"/>
        <color theme="1"/>
        <rFont val="Calibri"/>
        <family val="2"/>
        <scheme val="minor"/>
      </rPr>
      <t>Key Plan Provisions</t>
    </r>
    <r>
      <rPr>
        <sz val="11"/>
        <color theme="1"/>
        <rFont val="Calibri"/>
        <family val="2"/>
        <scheme val="minor"/>
      </rPr>
      <t xml:space="preserve">
    •  Interest crediting rate: fixed rate of 3.0%.  
    •  Normal Retirement Age (NRA): 65
    •  Retirement eligibility
        o  Later of termination or age 55
        o  The plan does not force vested terminated participants to commence at NRA
</t>
    </r>
    <r>
      <rPr>
        <b/>
        <sz val="11"/>
        <color theme="1"/>
        <rFont val="Calibri"/>
        <family val="2"/>
        <scheme val="minor"/>
      </rPr>
      <t xml:space="preserve">Plan Population
</t>
    </r>
    <r>
      <rPr>
        <sz val="11"/>
        <color theme="1"/>
        <rFont val="Calibri"/>
        <family val="2"/>
        <scheme val="minor"/>
      </rPr>
      <t xml:space="preserve">    •  The plan has 500 active participants.  Each participant is age 40 with a cash balance of $100,000.  
    •  The plan has 1,500 vested terminated participants.  Each participant is age 60 with a cash balance of $150,000.  
</t>
    </r>
    <r>
      <rPr>
        <b/>
        <sz val="11"/>
        <color theme="1"/>
        <rFont val="Calibri"/>
        <family val="2"/>
        <scheme val="minor"/>
      </rPr>
      <t xml:space="preserve">Additional Actuarial Assumptions </t>
    </r>
    <r>
      <rPr>
        <sz val="11"/>
        <color theme="1"/>
        <rFont val="Calibri"/>
        <family val="2"/>
        <scheme val="minor"/>
      </rPr>
      <t xml:space="preserve">
    •  Discount rate: 5.0%
    •  Pre-retirement mortality: none
    •  Pre-retirement termination: none
    •  Form of payment: 100% elect a lump sum
    •  Decrement: beginning of year 
</t>
    </r>
    <r>
      <rPr>
        <b/>
        <sz val="11"/>
        <color theme="1"/>
        <rFont val="Calibri"/>
        <family val="2"/>
        <scheme val="minor"/>
      </rPr>
      <t>Question 1</t>
    </r>
    <r>
      <rPr>
        <sz val="11"/>
        <color theme="1"/>
        <rFont val="Calibri"/>
        <family val="2"/>
        <scheme val="minor"/>
      </rPr>
      <t xml:space="preserve">
    a)  Calculate the actuarial liability and projected benefits for the plan under the current retirement assumptions
    b)  Calculate the actuarial liability and projected benefits for the plan under the proposed retirement assumptions
    c)  What conclusions can you draw from these results?
</t>
    </r>
    <r>
      <rPr>
        <b/>
        <sz val="11"/>
        <color theme="1"/>
        <rFont val="Calibri"/>
        <family val="2"/>
        <scheme val="minor"/>
      </rPr>
      <t>Question 2</t>
    </r>
    <r>
      <rPr>
        <sz val="11"/>
        <color theme="1"/>
        <rFont val="Calibri"/>
        <family val="2"/>
        <scheme val="minor"/>
      </rPr>
      <t xml:space="preserve">
You learned that the plan you are reviewing provided a traditional defined benefit (2.0 X Final Average Pay x Service) before transitioning to a cash balance formula 15 years ago.  As a result, you discover there are 50 active participants and 150 vested terminated participants from Question 1 with a legacy benefit that was not valued (only their cash balance accounts were valued).  
You are provided the following information: 
</t>
    </r>
    <r>
      <rPr>
        <b/>
        <sz val="11"/>
        <color theme="1"/>
        <rFont val="Calibri"/>
        <family val="2"/>
        <scheme val="minor"/>
      </rPr>
      <t>Key Traditional Benefit Plan Provisions</t>
    </r>
    <r>
      <rPr>
        <sz val="11"/>
        <color theme="1"/>
        <rFont val="Calibri"/>
        <family val="2"/>
        <scheme val="minor"/>
      </rPr>
      <t xml:space="preserve">
    •  Normal Retirement Age: 65
    •  Early retirement eligibility
        o  Later of termination or age 55
    •  Early retirement benefit
        o  Unreduced at age 62
        o  Benefits are actuarially equivalently reduced from age 62 for commencements between 55 and 62
    •  Late retirement benefit
        o  Benefits are actuarially equivalently increased after Normal Retirement Age
    •  Actuarial equivalence assumptions
        o  5% interest rate and the same mortality assumption used to determine the plan’s liability 
    •  Form of payment: single life annuity or a lump sum
        o  Lump sum conversion basis:  a 5% interest rate and the same mortality assumption used to determine the plan’s liability 
</t>
    </r>
    <r>
      <rPr>
        <b/>
        <sz val="11"/>
        <color theme="1"/>
        <rFont val="Calibri"/>
        <family val="2"/>
        <scheme val="minor"/>
      </rPr>
      <t>Traditional Benefit Plan Population</t>
    </r>
    <r>
      <rPr>
        <sz val="11"/>
        <color theme="1"/>
        <rFont val="Calibri"/>
        <family val="2"/>
        <scheme val="minor"/>
      </rPr>
      <t xml:space="preserve">
    •  Active: 50 participants.  All are age 40 with a monthly Normal Retirement Benefit of $400.  
    •  Vested Terminated: 150 participants.  All are age 60 with a monthly Normal Retirement Benefit of $2,000.  
</t>
    </r>
    <r>
      <rPr>
        <b/>
        <sz val="11"/>
        <color theme="1"/>
        <rFont val="Calibri"/>
        <family val="2"/>
        <scheme val="minor"/>
      </rPr>
      <t xml:space="preserve">Traditional Benefit Actuarial Assumptions </t>
    </r>
    <r>
      <rPr>
        <sz val="11"/>
        <color theme="1"/>
        <rFont val="Calibri"/>
        <family val="2"/>
        <scheme val="minor"/>
      </rPr>
      <t xml:space="preserve">
    •  Same as Question 1, except
    •  Form of payment: 100% are assumed to elect a lump sum based on a review of plan experience
</t>
    </r>
    <r>
      <rPr>
        <b/>
        <sz val="11"/>
        <color theme="1"/>
        <rFont val="Calibri"/>
        <family val="2"/>
        <scheme val="minor"/>
      </rPr>
      <t xml:space="preserve">Selected Actuarial Factors are provided in the table to the right
   Questions
  </t>
    </r>
    <r>
      <rPr>
        <sz val="11"/>
        <color theme="1"/>
        <rFont val="Calibri"/>
        <family val="2"/>
        <scheme val="minor"/>
      </rPr>
      <t xml:space="preserve">  a)  Do you feel the proposed retirement assumptions are appropriate for the legacy group?  Explain why are why not.
     b)  Calculate the traditional benefit actuarial liability under the proposed retirement assumptions
     c)  Calculate the traditional benefit actuarial liability if the retirement assumption is 100% at age 62
     d)  What conclusions can you draw from these results?
</t>
    </r>
  </si>
  <si>
    <t xml:space="preserve">Complete the missing information for the 7 curtailment scenarios (the scenario from the study note is provided for reference).  That is, determine the impact of the curtailment on the plan's Accumulated Other Comprehensive Income and Net Pension Expense.  
You are provided the following additional information:
  -  Under each scenario, the curtailment is triggered by a plan freeze 
  -  Scenarios 6 and 7 are cash balance plans where the PBO is determined under the UC cost method
</t>
  </si>
  <si>
    <r>
      <rPr>
        <b/>
        <sz val="11"/>
        <color theme="1"/>
        <rFont val="Calibri"/>
        <family val="2"/>
        <scheme val="minor"/>
      </rPr>
      <t>Question 1</t>
    </r>
    <r>
      <rPr>
        <sz val="11"/>
        <color theme="1"/>
        <rFont val="Calibri"/>
        <family val="2"/>
        <scheme val="minor"/>
      </rPr>
      <t xml:space="preserve">
Your client has a frozen plan that is 85% funded ($500 M ABO and $425 M FVA).  You recently completed a plan termination feasibility study and estimate the cost to terminate the plan will be 110% of the plan's accounting liability (i.e., 110% x ABO). They will terminate the plan the earlier of when the funded status attains a funded position of 110% or 5 years.  Your client indicated they will contribute $25 million annually ((110% x $500 M - $425 M) / 5) until the plan is terminated.  
The plan's current asset allocation is 60% equities / 40% fixed income aggregate high quality corporate bond index.  However, they would like your thoughts regarding whether they should continue with their current allocation, immediately transition to full LDI (i.e., invest entirely in a fixed income portfolio whose duration matches the plan's duration of 12.0) or a adopt glide path.
Using the information provided, project the plan's funded status during the next 5 years under each economic scenario for each asset allocation (i.e., current, full LDI and glide path).  Use the glide path design provided within the worksheet.  The glide path is measured annually at the beginning of the year.  Assume the following for each projection:
      -  The plan's duration remains a constant 12.0
      -  Contributions are made mid-year
      -  Benefit payments are made mid-year
      -  Assume the sponsor will terminate the plan when the plan is approximately 110% funded, and at that time will either true-up the difference to bring it up to 110% or receive a refund to bring it down to 110% (e.g., if the 
          plan is 108% funded at year 3, the plan sponsor will terminate the plan and contribute the remaining amount needed to bring the plan up to 110%)
Then, using the projected results from the 10 economic scenarios, calculate the following metrics for each asset allocation (i.e., determine the following for the current, full LDI and glide path asset allocations):
       -  The frequency of scenarios where the plan is able to terminate at the end of year 1, year 2, year 3, year 4 and year 5
       -  The minimum contribution, mean contribution and maximum contribution
       -  The standard deviation of the contribution
A sample projection model is provided for your reference to help you get started, along with a metrics table that should be populated.
</t>
    </r>
    <r>
      <rPr>
        <b/>
        <sz val="11"/>
        <color theme="1"/>
        <rFont val="Calibri"/>
        <family val="2"/>
        <scheme val="minor"/>
      </rPr>
      <t xml:space="preserve">
Question 2
</t>
    </r>
    <r>
      <rPr>
        <sz val="11"/>
        <color theme="1"/>
        <rFont val="Calibri"/>
        <family val="2"/>
        <scheme val="minor"/>
      </rPr>
      <t>What conclusions can you draw from these results?</t>
    </r>
  </si>
  <si>
    <t>Selecting and Documenting Pension Assumptions Other Than Discount Rate, Investment Return, and Mortality</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</si>
  <si>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</si>
  <si>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</si>
  <si>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</si>
  <si>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</si>
  <si>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</si>
  <si>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</si>
  <si>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</si>
  <si>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</si>
  <si>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</si>
  <si>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</si>
  <si>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</si>
  <si>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RET 201 - Retirement Plan Valuation</t>
  </si>
  <si>
    <r>
      <t xml:space="preserve">This guided example has been developed by </t>
    </r>
    <r>
      <rPr>
        <b/>
        <sz val="11"/>
        <color theme="1"/>
        <rFont val="Aptos"/>
        <family val="2"/>
      </rPr>
      <t>Ryan Rowland, FSA, EA, MAAA of The Edge Actuarial,</t>
    </r>
    <r>
      <rPr>
        <sz val="11"/>
        <color theme="1"/>
        <rFont val="Aptos"/>
        <family val="2"/>
      </rPr>
      <t xml:space="preserve"> with review and edits as appropriate by course curriculum volunteers and SOA staff. Administrative support has been provided by </t>
    </r>
    <r>
      <rPr>
        <b/>
        <sz val="11"/>
        <color theme="1"/>
        <rFont val="Aptos"/>
        <family val="2"/>
      </rPr>
      <t>ACTEX Learning</t>
    </r>
    <r>
      <rPr>
        <sz val="11"/>
        <color theme="1"/>
        <rFont val="Apto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</si>
</sst>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0.00000"/>
    <numFmt numFmtId="166" formatCode="0.000000"/>
    <numFmt numFmtId="167" formatCode="0.0"/>
    <numFmt numFmtId="168" formatCode="0.000"/>
    <numFmt numFmtId="169" formatCode="0.0000"/>
    <numFmt numFmtId="170" formatCode="_(&quot;$&quot;* #,##0_);_(&quot;$&quot;* \(#,##0\);_(&quot;$&quot;* &quot;-&quot;??_);_(@_)"/>
    <numFmt numFmtId="171" formatCode="_(* #,##0.000000_);_(* \(#,##0.000000\);_(* &quot;-&quot;??_);_(@_)"/>
    <numFmt numFmtId="172" formatCode="_(* #,##0.000_);_(* \(#,##0.000\);_(* &quot;-&quot;??_);_(@_)"/>
    <numFmt numFmtId="173"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color theme="1"/>
      <name val="Aptos"/>
      <family val="2"/>
    </font>
    <font>
      <b/>
      <sz val="11"/>
      <color theme="1"/>
      <name val="Aptos"/>
      <family val="2"/>
    </font>
    <font>
      <sz val="11"/>
      <color rgb="FF000000"/>
      <name val="Aptos Narrow"/>
      <family val="2"/>
    </font>
    <font>
      <b/>
      <sz val="11"/>
      <color rgb="FF000000"/>
      <name val="Aptos Narrow"/>
      <family val="2"/>
    </font>
    <font>
      <sz val="11"/>
      <color theme="1"/>
      <name val="Symbol"/>
      <family val="1"/>
      <charset val="2"/>
    </font>
    <font>
      <sz val="7"/>
      <color theme="1"/>
      <name val="Times New Roman"/>
      <family val="1"/>
    </font>
    <font>
      <b/>
      <sz val="10"/>
      <color theme="1"/>
      <name val="Calibri"/>
      <family val="2"/>
      <scheme val="minor"/>
    </font>
    <font>
      <b/>
      <sz val="14"/>
      <color theme="1"/>
      <name val="Calibri"/>
      <family val="2"/>
      <scheme val="minor"/>
    </font>
    <font>
      <u val="singleAccounting"/>
      <sz val="11"/>
      <color theme="1"/>
      <name val="Calibri"/>
      <family val="2"/>
      <scheme val="minor"/>
    </font>
    <font>
      <u/>
      <sz val="11"/>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DF79"/>
        <bgColor indexed="64"/>
      </patternFill>
    </fill>
    <fill>
      <patternFill patternType="solid">
        <fgColor rgb="FFFFFFCC"/>
        <bgColor indexed="64"/>
      </patternFill>
    </fill>
    <fill>
      <patternFill patternType="solid">
        <fgColor theme="3" tint="0.89999084444715716"/>
        <bgColor indexed="64"/>
      </patternFill>
    </fill>
    <fill>
      <patternFill patternType="solid">
        <fgColor rgb="FFFFECD9"/>
        <bgColor indexed="64"/>
      </patternFill>
    </fill>
    <fill>
      <patternFill patternType="solid">
        <fgColor theme="9" tint="0.79998168889431442"/>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232">
    <xf numFmtId="0" fontId="0" fillId="0" borderId="0" xfId="0"/>
    <xf numFmtId="0" fontId="3" fillId="0" borderId="0" xfId="0" applyFont="1"/>
    <xf numFmtId="0" fontId="0" fillId="0" borderId="0" xfId="0" applyAlignment="1">
      <alignment horizontal="right"/>
    </xf>
    <xf numFmtId="0" fontId="0" fillId="0" borderId="0" xfId="0" applyAlignment="1">
      <alignment horizontal="center"/>
    </xf>
    <xf numFmtId="0" fontId="2" fillId="0" borderId="0" xfId="0" applyFont="1"/>
    <xf numFmtId="0" fontId="0" fillId="0" borderId="0" xfId="0" quotePrefix="1"/>
    <xf numFmtId="0" fontId="0" fillId="0" borderId="0" xfId="0" applyAlignment="1">
      <alignment wrapText="1"/>
    </xf>
    <xf numFmtId="164" fontId="0" fillId="0" borderId="0" xfId="0" applyNumberFormat="1"/>
    <xf numFmtId="9" fontId="0" fillId="0" borderId="0" xfId="2" applyFont="1"/>
    <xf numFmtId="0" fontId="2" fillId="0" borderId="0" xfId="0" applyFont="1" applyAlignment="1">
      <alignment horizontal="center"/>
    </xf>
    <xf numFmtId="0" fontId="0" fillId="0" borderId="0" xfId="0" applyAlignment="1">
      <alignment vertical="top" wrapText="1"/>
    </xf>
    <xf numFmtId="0" fontId="0" fillId="0" borderId="5" xfId="0" applyBorder="1"/>
    <xf numFmtId="0" fontId="0" fillId="0" borderId="4" xfId="0" applyBorder="1"/>
    <xf numFmtId="0" fontId="0" fillId="0" borderId="7" xfId="0" applyBorder="1"/>
    <xf numFmtId="0" fontId="0" fillId="0" borderId="8" xfId="0" applyBorder="1"/>
    <xf numFmtId="164" fontId="0" fillId="0" borderId="8" xfId="0" applyNumberFormat="1" applyBorder="1"/>
    <xf numFmtId="10" fontId="0" fillId="0" borderId="0" xfId="2" applyNumberFormat="1" applyFont="1"/>
    <xf numFmtId="164" fontId="0" fillId="0" borderId="0" xfId="1" applyNumberFormat="1" applyFont="1" applyBorder="1"/>
    <xf numFmtId="164" fontId="0" fillId="0" borderId="8" xfId="1" applyNumberFormat="1" applyFont="1" applyBorder="1"/>
    <xf numFmtId="9" fontId="0" fillId="0" borderId="0" xfId="2" applyFont="1" applyBorder="1"/>
    <xf numFmtId="9" fontId="0" fillId="0" borderId="8" xfId="2" applyFont="1" applyBorder="1"/>
    <xf numFmtId="0" fontId="2" fillId="0" borderId="7" xfId="0" applyFont="1" applyBorder="1"/>
    <xf numFmtId="0" fontId="0" fillId="0" borderId="3" xfId="0" applyBorder="1"/>
    <xf numFmtId="0" fontId="0" fillId="0" borderId="2" xfId="0" applyBorder="1"/>
    <xf numFmtId="164" fontId="0" fillId="0" borderId="2" xfId="0" applyNumberFormat="1" applyBorder="1"/>
    <xf numFmtId="164" fontId="0" fillId="0" borderId="1" xfId="0" applyNumberFormat="1" applyBorder="1"/>
    <xf numFmtId="9" fontId="0" fillId="0" borderId="2" xfId="2" applyFont="1" applyBorder="1"/>
    <xf numFmtId="9" fontId="0" fillId="0" borderId="1" xfId="2" applyFont="1" applyBorder="1"/>
    <xf numFmtId="0" fontId="2" fillId="0" borderId="6" xfId="0" applyFont="1" applyBorder="1" applyAlignment="1">
      <alignment horizontal="center"/>
    </xf>
    <xf numFmtId="0" fontId="0" fillId="0" borderId="1" xfId="0" applyBorder="1"/>
    <xf numFmtId="0" fontId="0" fillId="0" borderId="6" xfId="0" applyBorder="1"/>
    <xf numFmtId="10" fontId="0" fillId="0" borderId="0" xfId="2" applyNumberFormat="1" applyFont="1" applyBorder="1"/>
    <xf numFmtId="0" fontId="2" fillId="0" borderId="5" xfId="0" applyFont="1" applyBorder="1" applyAlignment="1">
      <alignment horizontal="center"/>
    </xf>
    <xf numFmtId="0" fontId="2" fillId="0" borderId="4" xfId="0" applyFont="1" applyBorder="1" applyAlignment="1">
      <alignment horizontal="center"/>
    </xf>
    <xf numFmtId="10" fontId="0" fillId="0" borderId="8" xfId="2" applyNumberFormat="1" applyFont="1" applyBorder="1"/>
    <xf numFmtId="0" fontId="0" fillId="0" borderId="8" xfId="0" applyBorder="1" applyAlignment="1">
      <alignment horizontal="right"/>
    </xf>
    <xf numFmtId="0" fontId="2" fillId="0" borderId="7" xfId="0" applyFont="1" applyBorder="1" applyAlignment="1">
      <alignment horizontal="center"/>
    </xf>
    <xf numFmtId="0" fontId="2" fillId="0" borderId="8" xfId="0" applyFont="1" applyBorder="1" applyAlignment="1">
      <alignment horizontal="center" wrapText="1"/>
    </xf>
    <xf numFmtId="164" fontId="0" fillId="0" borderId="7" xfId="0" applyNumberFormat="1" applyBorder="1"/>
    <xf numFmtId="164" fontId="0" fillId="0" borderId="3" xfId="0" applyNumberFormat="1" applyBorder="1"/>
    <xf numFmtId="166" fontId="0" fillId="0" borderId="0" xfId="0" applyNumberFormat="1" applyAlignment="1">
      <alignment horizontal="right"/>
    </xf>
    <xf numFmtId="164" fontId="0" fillId="0" borderId="1" xfId="1" applyNumberFormat="1" applyFont="1" applyBorder="1"/>
    <xf numFmtId="167" fontId="0" fillId="0" borderId="0" xfId="0" applyNumberFormat="1"/>
    <xf numFmtId="167" fontId="0" fillId="0" borderId="8" xfId="0" applyNumberFormat="1" applyBorder="1"/>
    <xf numFmtId="0" fontId="2" fillId="0" borderId="8" xfId="0" applyFont="1" applyBorder="1" applyAlignment="1">
      <alignment horizontal="center"/>
    </xf>
    <xf numFmtId="9" fontId="0" fillId="2" borderId="1" xfId="2" applyFont="1" applyFill="1" applyBorder="1"/>
    <xf numFmtId="164" fontId="0" fillId="3" borderId="0" xfId="0" applyNumberFormat="1" applyFill="1"/>
    <xf numFmtId="10"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center" vertical="center"/>
    </xf>
    <xf numFmtId="10" fontId="0" fillId="0" borderId="1" xfId="2" applyNumberFormat="1" applyFont="1" applyBorder="1"/>
    <xf numFmtId="10" fontId="0" fillId="0" borderId="2" xfId="2" applyNumberFormat="1" applyFont="1" applyBorder="1"/>
    <xf numFmtId="0" fontId="2" fillId="0" borderId="0" xfId="0" applyFont="1" applyAlignment="1">
      <alignment horizontal="center" wrapText="1"/>
    </xf>
    <xf numFmtId="168" fontId="0" fillId="0" borderId="0" xfId="0" applyNumberFormat="1"/>
    <xf numFmtId="169" fontId="0" fillId="0" borderId="0" xfId="0" applyNumberFormat="1"/>
    <xf numFmtId="170" fontId="0" fillId="0" borderId="0" xfId="3" applyNumberFormat="1" applyFont="1" applyFill="1" applyBorder="1"/>
    <xf numFmtId="170" fontId="0" fillId="0" borderId="0" xfId="3" applyNumberFormat="1" applyFont="1" applyBorder="1"/>
    <xf numFmtId="43" fontId="0" fillId="3" borderId="2" xfId="0" applyNumberFormat="1" applyFill="1" applyBorder="1"/>
    <xf numFmtId="43" fontId="0" fillId="3" borderId="0" xfId="0" applyNumberFormat="1" applyFill="1"/>
    <xf numFmtId="43" fontId="0" fillId="0" borderId="0" xfId="0" applyNumberFormat="1"/>
    <xf numFmtId="2" fontId="0" fillId="0" borderId="0" xfId="0" applyNumberFormat="1"/>
    <xf numFmtId="43" fontId="0" fillId="0" borderId="0" xfId="1" applyFont="1" applyBorder="1"/>
    <xf numFmtId="43" fontId="0" fillId="3" borderId="2" xfId="1" applyFont="1" applyFill="1" applyBorder="1"/>
    <xf numFmtId="0" fontId="2" fillId="0" borderId="6" xfId="0" applyFont="1" applyBorder="1" applyAlignment="1">
      <alignment horizontal="center" wrapText="1"/>
    </xf>
    <xf numFmtId="0" fontId="8" fillId="0" borderId="0" xfId="0" applyFont="1" applyAlignment="1">
      <alignment horizontal="left" vertical="center" indent="5"/>
    </xf>
    <xf numFmtId="0" fontId="5" fillId="0" borderId="0" xfId="0" applyFont="1" applyAlignment="1">
      <alignment vertical="center"/>
    </xf>
    <xf numFmtId="164" fontId="0" fillId="2" borderId="1" xfId="0" applyNumberFormat="1" applyFill="1" applyBorder="1"/>
    <xf numFmtId="164" fontId="0" fillId="2" borderId="2" xfId="1" applyNumberFormat="1" applyFont="1" applyFill="1" applyBorder="1"/>
    <xf numFmtId="9" fontId="0" fillId="0" borderId="8" xfId="2" applyFont="1" applyBorder="1" applyAlignment="1">
      <alignment horizontal="center"/>
    </xf>
    <xf numFmtId="9" fontId="0" fillId="0" borderId="0" xfId="2" applyFont="1" applyBorder="1" applyAlignment="1">
      <alignment horizontal="center"/>
    </xf>
    <xf numFmtId="9" fontId="0" fillId="0" borderId="0" xfId="2" applyFont="1" applyBorder="1" applyAlignment="1">
      <alignment horizontal="right"/>
    </xf>
    <xf numFmtId="0" fontId="2" fillId="0" borderId="7" xfId="0" applyFont="1" applyBorder="1" applyAlignment="1">
      <alignment horizontal="center" wrapText="1"/>
    </xf>
    <xf numFmtId="164" fontId="0" fillId="2" borderId="0" xfId="0" applyNumberFormat="1" applyFill="1"/>
    <xf numFmtId="9" fontId="0" fillId="0" borderId="8" xfId="2" applyFont="1" applyBorder="1" applyAlignment="1">
      <alignment horizontal="right"/>
    </xf>
    <xf numFmtId="166" fontId="0" fillId="0" borderId="9" xfId="0" applyNumberFormat="1" applyBorder="1" applyAlignment="1">
      <alignment horizontal="right"/>
    </xf>
    <xf numFmtId="164" fontId="0" fillId="0" borderId="1" xfId="1" applyNumberFormat="1" applyFont="1" applyBorder="1" applyAlignment="1">
      <alignment horizontal="right"/>
    </xf>
    <xf numFmtId="164" fontId="0" fillId="0" borderId="3" xfId="1" applyNumberFormat="1" applyFont="1" applyBorder="1" applyAlignment="1">
      <alignment horizontal="center"/>
    </xf>
    <xf numFmtId="0" fontId="0" fillId="0" borderId="3" xfId="0" applyBorder="1" applyAlignment="1">
      <alignment horizontal="center"/>
    </xf>
    <xf numFmtId="166" fontId="0" fillId="0" borderId="10" xfId="0" applyNumberFormat="1" applyBorder="1" applyAlignment="1">
      <alignment horizontal="right"/>
    </xf>
    <xf numFmtId="164" fontId="0" fillId="0" borderId="8" xfId="1" applyNumberFormat="1" applyFont="1" applyBorder="1" applyAlignment="1">
      <alignment horizontal="right"/>
    </xf>
    <xf numFmtId="164" fontId="0" fillId="0" borderId="7" xfId="1" applyNumberFormat="1" applyFont="1" applyBorder="1" applyAlignment="1">
      <alignment horizontal="center"/>
    </xf>
    <xf numFmtId="0" fontId="0" fillId="0" borderId="7" xfId="0" applyBorder="1" applyAlignment="1">
      <alignment horizontal="center"/>
    </xf>
    <xf numFmtId="0" fontId="2" fillId="0" borderId="9"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3" xfId="0" applyFont="1" applyBorder="1" applyAlignment="1">
      <alignment horizontal="center"/>
    </xf>
    <xf numFmtId="0" fontId="2" fillId="0" borderId="11" xfId="0" applyFont="1" applyBorder="1" applyAlignment="1">
      <alignment horizontal="center" wrapText="1"/>
    </xf>
    <xf numFmtId="0" fontId="2" fillId="0" borderId="1" xfId="0" applyFont="1" applyBorder="1" applyAlignment="1">
      <alignment horizontal="center"/>
    </xf>
    <xf numFmtId="0" fontId="0" fillId="0" borderId="9" xfId="0" applyBorder="1"/>
    <xf numFmtId="0" fontId="0" fillId="0" borderId="10" xfId="0" applyBorder="1"/>
    <xf numFmtId="171" fontId="0" fillId="0" borderId="10" xfId="0" applyNumberFormat="1" applyBorder="1"/>
    <xf numFmtId="43" fontId="0" fillId="0" borderId="8" xfId="0" applyNumberFormat="1" applyBorder="1"/>
    <xf numFmtId="166" fontId="0" fillId="0" borderId="7" xfId="0" applyNumberFormat="1" applyBorder="1" applyAlignment="1">
      <alignment horizontal="right"/>
    </xf>
    <xf numFmtId="171" fontId="0" fillId="0" borderId="0" xfId="0" applyNumberFormat="1"/>
    <xf numFmtId="171" fontId="0" fillId="0" borderId="0" xfId="0" applyNumberFormat="1" applyAlignment="1">
      <alignment horizontal="center"/>
    </xf>
    <xf numFmtId="164" fontId="0" fillId="0" borderId="0" xfId="1" applyNumberFormat="1"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0" fillId="0" borderId="11" xfId="0" applyBorder="1"/>
    <xf numFmtId="172" fontId="0" fillId="0" borderId="0" xfId="0" applyNumberFormat="1"/>
    <xf numFmtId="165" fontId="0" fillId="0" borderId="0" xfId="0" applyNumberFormat="1"/>
    <xf numFmtId="0" fontId="10" fillId="0" borderId="0" xfId="0" applyFont="1" applyAlignment="1">
      <alignment wrapText="1"/>
    </xf>
    <xf numFmtId="0" fontId="11" fillId="0" borderId="0" xfId="0" applyFont="1"/>
    <xf numFmtId="164" fontId="0" fillId="0" borderId="7" xfId="1" applyNumberFormat="1" applyFont="1" applyBorder="1"/>
    <xf numFmtId="164" fontId="12" fillId="0" borderId="7" xfId="1" applyNumberFormat="1" applyFont="1" applyBorder="1"/>
    <xf numFmtId="164" fontId="12" fillId="0" borderId="0" xfId="1" applyNumberFormat="1" applyFont="1" applyBorder="1"/>
    <xf numFmtId="164" fontId="12" fillId="0" borderId="8" xfId="1" applyNumberFormat="1" applyFont="1" applyBorder="1"/>
    <xf numFmtId="164" fontId="0" fillId="0" borderId="7" xfId="1" applyNumberFormat="1" applyFont="1" applyFill="1" applyBorder="1"/>
    <xf numFmtId="164" fontId="0" fillId="0" borderId="0" xfId="1" applyNumberFormat="1" applyFont="1" applyFill="1" applyBorder="1" applyAlignment="1">
      <alignment horizontal="right"/>
    </xf>
    <xf numFmtId="164" fontId="0" fillId="0" borderId="8" xfId="1" applyNumberFormat="1" applyFont="1" applyFill="1" applyBorder="1" applyAlignment="1">
      <alignment horizontal="right"/>
    </xf>
    <xf numFmtId="164" fontId="0" fillId="0" borderId="0" xfId="1" applyNumberFormat="1" applyFont="1" applyBorder="1" applyAlignment="1">
      <alignment horizontal="right"/>
    </xf>
    <xf numFmtId="164" fontId="1" fillId="0" borderId="0" xfId="1" applyNumberFormat="1" applyFont="1" applyBorder="1"/>
    <xf numFmtId="164" fontId="12" fillId="0" borderId="8" xfId="0" applyNumberFormat="1" applyFont="1" applyBorder="1"/>
    <xf numFmtId="164" fontId="12" fillId="0" borderId="0" xfId="1" applyNumberFormat="1" applyFont="1" applyBorder="1" applyAlignment="1">
      <alignment horizontal="right"/>
    </xf>
    <xf numFmtId="164" fontId="12" fillId="0" borderId="8" xfId="1" applyNumberFormat="1" applyFont="1" applyBorder="1" applyAlignment="1">
      <alignment horizontal="right"/>
    </xf>
    <xf numFmtId="164" fontId="0" fillId="0" borderId="0" xfId="0" applyNumberFormat="1" applyAlignment="1">
      <alignment horizontal="right"/>
    </xf>
    <xf numFmtId="164" fontId="0" fillId="0" borderId="8" xfId="0" applyNumberFormat="1" applyBorder="1" applyAlignment="1">
      <alignment horizontal="right"/>
    </xf>
    <xf numFmtId="164" fontId="0" fillId="0" borderId="2" xfId="0" applyNumberFormat="1" applyBorder="1" applyAlignment="1">
      <alignment horizontal="right"/>
    </xf>
    <xf numFmtId="0" fontId="0" fillId="0" borderId="1" xfId="0" applyBorder="1" applyAlignment="1">
      <alignment horizontal="right"/>
    </xf>
    <xf numFmtId="0" fontId="2" fillId="0" borderId="0" xfId="0" applyFont="1" applyAlignment="1">
      <alignment horizontal="left" wrapText="1"/>
    </xf>
    <xf numFmtId="0" fontId="2" fillId="0" borderId="11" xfId="0" applyFont="1" applyBorder="1" applyAlignment="1">
      <alignment horizontal="center"/>
    </xf>
    <xf numFmtId="0" fontId="2" fillId="0" borderId="4" xfId="0" applyFont="1" applyBorder="1"/>
    <xf numFmtId="164" fontId="0" fillId="0" borderId="10" xfId="1" applyNumberFormat="1" applyFont="1" applyBorder="1"/>
    <xf numFmtId="164" fontId="12" fillId="0" borderId="10" xfId="1" applyNumberFormat="1" applyFont="1" applyBorder="1"/>
    <xf numFmtId="164" fontId="0" fillId="0" borderId="10" xfId="0" applyNumberFormat="1" applyBorder="1"/>
    <xf numFmtId="164" fontId="0" fillId="0" borderId="10" xfId="1" applyNumberFormat="1" applyFont="1" applyBorder="1" applyAlignment="1">
      <alignment horizontal="right"/>
    </xf>
    <xf numFmtId="164" fontId="12" fillId="0" borderId="10" xfId="1" applyNumberFormat="1" applyFont="1" applyBorder="1" applyAlignment="1">
      <alignment horizontal="right"/>
    </xf>
    <xf numFmtId="164" fontId="0" fillId="0" borderId="10" xfId="0" applyNumberFormat="1" applyBorder="1" applyAlignment="1">
      <alignment horizontal="right"/>
    </xf>
    <xf numFmtId="0" fontId="0" fillId="0" borderId="10" xfId="0" applyBorder="1" applyAlignment="1">
      <alignment horizontal="right"/>
    </xf>
    <xf numFmtId="167" fontId="0" fillId="0" borderId="7" xfId="0" applyNumberFormat="1" applyBorder="1"/>
    <xf numFmtId="167" fontId="0" fillId="0" borderId="10" xfId="0" applyNumberFormat="1" applyBorder="1"/>
    <xf numFmtId="0" fontId="2" fillId="0" borderId="10" xfId="0" applyFont="1" applyBorder="1" applyAlignment="1">
      <alignment horizontal="center"/>
    </xf>
    <xf numFmtId="164" fontId="12" fillId="0" borderId="8" xfId="0" applyNumberFormat="1" applyFont="1" applyBorder="1" applyAlignment="1">
      <alignment horizontal="right"/>
    </xf>
    <xf numFmtId="164" fontId="12" fillId="0" borderId="10" xfId="0" applyNumberFormat="1" applyFont="1" applyBorder="1" applyAlignment="1">
      <alignment horizontal="right"/>
    </xf>
    <xf numFmtId="164" fontId="12" fillId="0" borderId="0" xfId="0" applyNumberFormat="1" applyFont="1" applyAlignment="1">
      <alignment horizontal="right"/>
    </xf>
    <xf numFmtId="0" fontId="0" fillId="0" borderId="12" xfId="0" applyBorder="1"/>
    <xf numFmtId="0" fontId="0" fillId="0" borderId="13" xfId="0" applyBorder="1"/>
    <xf numFmtId="0" fontId="0" fillId="0" borderId="13" xfId="0" applyBorder="1" applyAlignment="1">
      <alignment horizontal="right"/>
    </xf>
    <xf numFmtId="0" fontId="0" fillId="0" borderId="14" xfId="0" applyBorder="1" applyAlignment="1">
      <alignment horizontal="right"/>
    </xf>
    <xf numFmtId="164" fontId="0" fillId="0" borderId="14" xfId="0" applyNumberFormat="1" applyBorder="1"/>
    <xf numFmtId="10" fontId="0" fillId="4" borderId="1" xfId="2" applyNumberFormat="1" applyFont="1" applyFill="1" applyBorder="1"/>
    <xf numFmtId="10" fontId="0" fillId="4" borderId="2" xfId="2" applyNumberFormat="1" applyFont="1" applyFill="1" applyBorder="1"/>
    <xf numFmtId="10" fontId="1" fillId="4" borderId="2" xfId="2" applyNumberFormat="1" applyFont="1" applyFill="1" applyBorder="1"/>
    <xf numFmtId="0" fontId="2" fillId="0" borderId="2" xfId="0" applyFont="1" applyBorder="1"/>
    <xf numFmtId="10" fontId="0" fillId="5" borderId="8" xfId="2" applyNumberFormat="1" applyFont="1" applyFill="1" applyBorder="1"/>
    <xf numFmtId="10" fontId="0" fillId="5" borderId="0" xfId="2" applyNumberFormat="1" applyFont="1" applyFill="1" applyBorder="1"/>
    <xf numFmtId="0" fontId="0" fillId="5" borderId="0" xfId="0" applyFill="1" applyAlignment="1">
      <alignment horizontal="right"/>
    </xf>
    <xf numFmtId="10" fontId="6" fillId="6" borderId="8" xfId="0" applyNumberFormat="1" applyFont="1" applyFill="1" applyBorder="1" applyAlignment="1">
      <alignment horizontal="right" vertical="center"/>
    </xf>
    <xf numFmtId="10" fontId="6" fillId="6" borderId="0" xfId="0" applyNumberFormat="1" applyFont="1" applyFill="1" applyAlignment="1">
      <alignment horizontal="right" vertical="center"/>
    </xf>
    <xf numFmtId="0" fontId="0" fillId="6" borderId="0" xfId="0" applyFill="1" applyAlignment="1">
      <alignment horizontal="right"/>
    </xf>
    <xf numFmtId="0" fontId="2" fillId="0" borderId="7" xfId="0" applyFont="1" applyBorder="1" applyAlignment="1">
      <alignment vertical="center"/>
    </xf>
    <xf numFmtId="10" fontId="6" fillId="7" borderId="8" xfId="0" applyNumberFormat="1" applyFont="1" applyFill="1" applyBorder="1" applyAlignment="1">
      <alignment horizontal="right" vertical="center"/>
    </xf>
    <xf numFmtId="10" fontId="6" fillId="7" borderId="0" xfId="0" applyNumberFormat="1" applyFont="1" applyFill="1" applyAlignment="1">
      <alignment horizontal="right" vertical="center"/>
    </xf>
    <xf numFmtId="0" fontId="0" fillId="7" borderId="0" xfId="0" applyFill="1" applyAlignment="1">
      <alignment horizontal="right"/>
    </xf>
    <xf numFmtId="10" fontId="0" fillId="4" borderId="8" xfId="2" applyNumberFormat="1" applyFont="1" applyFill="1" applyBorder="1"/>
    <xf numFmtId="10" fontId="0" fillId="4" borderId="0" xfId="2" applyNumberFormat="1" applyFont="1" applyFill="1" applyBorder="1"/>
    <xf numFmtId="10" fontId="1" fillId="4" borderId="0" xfId="2" applyNumberFormat="1" applyFont="1" applyFill="1" applyBorder="1"/>
    <xf numFmtId="9" fontId="0" fillId="0" borderId="2" xfId="2" applyFont="1" applyFill="1" applyBorder="1"/>
    <xf numFmtId="0" fontId="2" fillId="0" borderId="3" xfId="0" applyFont="1" applyBorder="1" applyAlignment="1">
      <alignment vertical="center"/>
    </xf>
    <xf numFmtId="173" fontId="0" fillId="0" borderId="1" xfId="0" applyNumberFormat="1" applyBorder="1" applyAlignment="1">
      <alignment horizontal="right"/>
    </xf>
    <xf numFmtId="173" fontId="0" fillId="0" borderId="2" xfId="0" applyNumberFormat="1" applyBorder="1" applyAlignment="1">
      <alignment horizontal="right"/>
    </xf>
    <xf numFmtId="173" fontId="0" fillId="0" borderId="8" xfId="0" applyNumberFormat="1" applyBorder="1" applyAlignment="1">
      <alignment horizontal="right"/>
    </xf>
    <xf numFmtId="173" fontId="0" fillId="0" borderId="0" xfId="0" applyNumberFormat="1" applyAlignment="1">
      <alignment horizontal="right"/>
    </xf>
    <xf numFmtId="173" fontId="0" fillId="0" borderId="8" xfId="0" applyNumberFormat="1" applyBorder="1"/>
    <xf numFmtId="173" fontId="0" fillId="0" borderId="0" xfId="0" applyNumberFormat="1"/>
    <xf numFmtId="0" fontId="0" fillId="0" borderId="5" xfId="0" applyBorder="1" applyAlignment="1">
      <alignment horizontal="right"/>
    </xf>
    <xf numFmtId="0" fontId="2" fillId="0" borderId="6" xfId="0" applyFont="1" applyBorder="1" applyAlignment="1">
      <alignment vertical="center"/>
    </xf>
    <xf numFmtId="0" fontId="7" fillId="0" borderId="0" xfId="0" applyFont="1" applyAlignment="1">
      <alignment horizontal="right" vertical="center"/>
    </xf>
    <xf numFmtId="0" fontId="7" fillId="0" borderId="8" xfId="0" applyFont="1" applyBorder="1" applyAlignment="1">
      <alignment horizontal="right" vertical="center"/>
    </xf>
    <xf numFmtId="9" fontId="0" fillId="0" borderId="3" xfId="2" applyFont="1" applyBorder="1"/>
    <xf numFmtId="9" fontId="0" fillId="0" borderId="7" xfId="2" applyFont="1" applyBorder="1"/>
    <xf numFmtId="9" fontId="0" fillId="0" borderId="8" xfId="2" applyFont="1" applyFill="1" applyBorder="1"/>
    <xf numFmtId="9" fontId="0" fillId="0" borderId="0" xfId="2" applyFont="1" applyFill="1" applyBorder="1"/>
    <xf numFmtId="9" fontId="0" fillId="0" borderId="7" xfId="2" applyFont="1" applyFill="1" applyBorder="1"/>
    <xf numFmtId="164" fontId="0" fillId="0" borderId="4" xfId="1" applyNumberFormat="1" applyFont="1" applyBorder="1"/>
    <xf numFmtId="173" fontId="0" fillId="2" borderId="0" xfId="0" applyNumberFormat="1" applyFill="1"/>
    <xf numFmtId="164" fontId="12" fillId="2" borderId="0" xfId="0" applyNumberFormat="1" applyFont="1" applyFill="1"/>
    <xf numFmtId="10" fontId="0" fillId="2" borderId="2" xfId="2" applyNumberFormat="1" applyFont="1" applyFill="1" applyBorder="1"/>
    <xf numFmtId="164" fontId="12" fillId="0" borderId="0" xfId="0" applyNumberFormat="1" applyFont="1"/>
    <xf numFmtId="9" fontId="0" fillId="2" borderId="2" xfId="2" applyFont="1" applyFill="1" applyBorder="1"/>
    <xf numFmtId="173" fontId="0" fillId="2" borderId="8" xfId="0" applyNumberFormat="1" applyFill="1" applyBorder="1"/>
    <xf numFmtId="10" fontId="6" fillId="5" borderId="8" xfId="0" applyNumberFormat="1" applyFont="1" applyFill="1" applyBorder="1" applyAlignment="1">
      <alignment horizontal="right" vertical="center"/>
    </xf>
    <xf numFmtId="10" fontId="6" fillId="5" borderId="0" xfId="0" applyNumberFormat="1" applyFont="1" applyFill="1" applyAlignment="1">
      <alignment horizontal="right" vertical="center"/>
    </xf>
    <xf numFmtId="10" fontId="0" fillId="2" borderId="1" xfId="2" applyNumberFormat="1" applyFont="1" applyFill="1" applyBorder="1"/>
    <xf numFmtId="10" fontId="0" fillId="0" borderId="0" xfId="2" applyNumberFormat="1" applyFont="1" applyFill="1"/>
    <xf numFmtId="9" fontId="3" fillId="0" borderId="0" xfId="2" applyFont="1" applyBorder="1"/>
    <xf numFmtId="0" fontId="4" fillId="0" borderId="0" xfId="0" applyFont="1"/>
    <xf numFmtId="0" fontId="13" fillId="0" borderId="0" xfId="0" applyFont="1"/>
    <xf numFmtId="0" fontId="0" fillId="0" borderId="0" xfId="0" applyAlignment="1">
      <alignment vertical="top" wrapText="1"/>
    </xf>
    <xf numFmtId="0" fontId="0" fillId="0" borderId="0" xfId="0" applyAlignment="1">
      <alignment wrapText="1"/>
    </xf>
    <xf numFmtId="0" fontId="0" fillId="0" borderId="6" xfId="0" applyBorder="1" applyAlignment="1">
      <alignment horizontal="left" vertical="top" wrapText="1"/>
    </xf>
    <xf numFmtId="0" fontId="0" fillId="0" borderId="5"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0" fillId="0" borderId="0" xfId="0" applyAlignment="1">
      <alignment vertical="top"/>
    </xf>
    <xf numFmtId="0" fontId="2" fillId="0" borderId="6"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xf numFmtId="0" fontId="2" fillId="0" borderId="7" xfId="0" applyFont="1" applyBorder="1" applyAlignment="1">
      <alignment vertical="center"/>
    </xf>
    <xf numFmtId="0" fontId="0" fillId="0" borderId="7" xfId="0" applyBorder="1"/>
    <xf numFmtId="0" fontId="0" fillId="0" borderId="5" xfId="0" applyBorder="1"/>
    <xf numFmtId="0" fontId="0" fillId="0" borderId="4" xfId="0" applyBorder="1"/>
    <xf numFmtId="0" fontId="2" fillId="0" borderId="6" xfId="0" applyFont="1" applyBorder="1" applyAlignment="1">
      <alignment vertical="center"/>
    </xf>
    <xf numFmtId="0" fontId="2" fillId="0" borderId="3" xfId="0" applyFont="1" applyBorder="1" applyAlignment="1">
      <alignment vertical="center"/>
    </xf>
    <xf numFmtId="0" fontId="0" fillId="0" borderId="7" xfId="0" applyBorder="1" applyAlignment="1">
      <alignment vertical="top" wrapText="1"/>
    </xf>
    <xf numFmtId="0" fontId="0" fillId="0" borderId="8"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15" fillId="0" borderId="0" xfId="0" applyFont="1" applyAlignment="1">
      <alignment horizontal="center"/>
    </xf>
    <xf numFmtId="0" fontId="16" fillId="0" borderId="0" xfId="0" applyFont="1"/>
    <xf numFmtId="0" fontId="17" fillId="0" borderId="0" xfId="0" applyFont="1" applyAlignment="1">
      <alignment horizontal="center"/>
    </xf>
    <xf numFmtId="0" fontId="0" fillId="0" borderId="0" xfId="0" applyAlignment="1">
      <alignment horizontal="right" vertical="top" indent="1"/>
    </xf>
    <xf numFmtId="0" fontId="18" fillId="0" borderId="0" xfId="0" applyFont="1" applyAlignment="1">
      <alignment horizontal="left" wrapText="1"/>
    </xf>
    <xf numFmtId="0" fontId="18" fillId="0" borderId="0" xfId="0" applyFont="1"/>
    <xf numFmtId="0" fontId="14" fillId="0" borderId="0" xfId="4"/>
    <xf numFmtId="0" fontId="19" fillId="0" borderId="0" xfId="4" applyFont="1"/>
    <xf numFmtId="0" fontId="20"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right"/>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Mortality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Subject Experience</c:v>
          </c:tx>
          <c:spPr>
            <a:ln w="19050" cap="flat" cmpd="sng" algn="ctr">
              <a:solidFill>
                <a:schemeClr val="accent2"/>
              </a:solidFill>
              <a:prstDash val="solid"/>
              <a:miter lim="800000"/>
            </a:ln>
            <a:effectLst/>
          </c:spPr>
          <c:marker>
            <c:symbol val="circle"/>
            <c:size val="5"/>
            <c:spPr>
              <a:solidFill>
                <a:srgbClr val="FFC000"/>
              </a:solidFill>
              <a:ln w="19050" cap="flat" cmpd="sng" algn="ctr">
                <a:solidFill>
                  <a:schemeClr val="accent2"/>
                </a:solidFill>
                <a:prstDash val="solid"/>
                <a:miter lim="800000"/>
              </a:ln>
              <a:effectLst/>
            </c:spPr>
          </c:marker>
          <c:cat>
            <c:numRef>
              <c:f>'A4'!$D$30:$D$73</c:f>
              <c:numCache>
                <c:formatCode>General</c:formatCode>
                <c:ptCount val="44"/>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numCache>
            </c:numRef>
          </c:cat>
          <c:val>
            <c:numRef>
              <c:f>'A4'!$G$30:$G$73</c:f>
              <c:numCache>
                <c:formatCode>_(* #,##0.000000_);_(* \(#,##0.000000\);_(* "-"??_);_(@_)</c:formatCode>
                <c:ptCount val="44"/>
                <c:pt idx="0">
                  <c:v>2.0804438280166435E-3</c:v>
                </c:pt>
                <c:pt idx="1">
                  <c:v>2.5195968645016797E-3</c:v>
                </c:pt>
                <c:pt idx="2">
                  <c:v>4.0672451193058566E-3</c:v>
                </c:pt>
                <c:pt idx="3">
                  <c:v>5.1078320090805901E-3</c:v>
                </c:pt>
                <c:pt idx="4">
                  <c:v>3.8845726970033298E-3</c:v>
                </c:pt>
                <c:pt idx="5">
                  <c:v>4.1436464088397788E-3</c:v>
                </c:pt>
                <c:pt idx="6">
                  <c:v>4.2432814710042432E-3</c:v>
                </c:pt>
                <c:pt idx="7">
                  <c:v>7.362967002999727E-3</c:v>
                </c:pt>
                <c:pt idx="8">
                  <c:v>9.8979276214042691E-3</c:v>
                </c:pt>
                <c:pt idx="9">
                  <c:v>6.238303181534623E-3</c:v>
                </c:pt>
                <c:pt idx="10">
                  <c:v>1.0335917312661499E-2</c:v>
                </c:pt>
                <c:pt idx="11">
                  <c:v>1.1297709923664122E-2</c:v>
                </c:pt>
                <c:pt idx="12">
                  <c:v>9.8287888395688014E-3</c:v>
                </c:pt>
                <c:pt idx="13">
                  <c:v>9.4142259414225944E-3</c:v>
                </c:pt>
                <c:pt idx="14">
                  <c:v>1.5510204081632653E-2</c:v>
                </c:pt>
                <c:pt idx="15">
                  <c:v>1.7706949977866312E-2</c:v>
                </c:pt>
                <c:pt idx="16">
                  <c:v>1.873661670235546E-2</c:v>
                </c:pt>
                <c:pt idx="17">
                  <c:v>2.3990637799882971E-2</c:v>
                </c:pt>
                <c:pt idx="18">
                  <c:v>3.0265596046942556E-2</c:v>
                </c:pt>
                <c:pt idx="19">
                  <c:v>2.4595924104005622E-2</c:v>
                </c:pt>
                <c:pt idx="20">
                  <c:v>2.7516292541636494E-2</c:v>
                </c:pt>
                <c:pt idx="21">
                  <c:v>3.607843137254902E-2</c:v>
                </c:pt>
                <c:pt idx="22">
                  <c:v>2.6102610261026102E-2</c:v>
                </c:pt>
                <c:pt idx="23">
                  <c:v>3.0959752321981424E-2</c:v>
                </c:pt>
                <c:pt idx="24">
                  <c:v>2.5906735751295335E-2</c:v>
                </c:pt>
                <c:pt idx="25">
                  <c:v>4.9715909090909088E-2</c:v>
                </c:pt>
                <c:pt idx="26">
                  <c:v>4.2592592592592592E-2</c:v>
                </c:pt>
                <c:pt idx="27">
                  <c:v>5.1526717557251911E-2</c:v>
                </c:pt>
                <c:pt idx="28">
                  <c:v>7.289293849658314E-2</c:v>
                </c:pt>
                <c:pt idx="29">
                  <c:v>6.1170212765957445E-2</c:v>
                </c:pt>
                <c:pt idx="30">
                  <c:v>6.4189189189189186E-2</c:v>
                </c:pt>
                <c:pt idx="31">
                  <c:v>8.9552238805970144E-2</c:v>
                </c:pt>
                <c:pt idx="32">
                  <c:v>9.0225563909774431E-2</c:v>
                </c:pt>
                <c:pt idx="33">
                  <c:v>0.13333333333333333</c:v>
                </c:pt>
                <c:pt idx="34">
                  <c:v>0.11594202898550725</c:v>
                </c:pt>
                <c:pt idx="35">
                  <c:v>0.10810810810810811</c:v>
                </c:pt>
                <c:pt idx="36">
                  <c:v>0.16981132075471697</c:v>
                </c:pt>
                <c:pt idx="37">
                  <c:v>0.19047619047619047</c:v>
                </c:pt>
                <c:pt idx="38">
                  <c:v>0.23529411764705882</c:v>
                </c:pt>
                <c:pt idx="39">
                  <c:v>0.25</c:v>
                </c:pt>
                <c:pt idx="40">
                  <c:v>0.25</c:v>
                </c:pt>
                <c:pt idx="41">
                  <c:v>0.375</c:v>
                </c:pt>
                <c:pt idx="42">
                  <c:v>0.42857142857142855</c:v>
                </c:pt>
                <c:pt idx="43">
                  <c:v>0.33333333333333331</c:v>
                </c:pt>
              </c:numCache>
            </c:numRef>
          </c:val>
          <c:smooth val="0"/>
          <c:extLst>
            <c:ext xmlns:c16="http://schemas.microsoft.com/office/drawing/2014/chart" uri="{C3380CC4-5D6E-409C-BE32-E72D297353CC}">
              <c16:uniqueId val="{00000000-9912-4C53-ABED-C6F49E0B2F48}"/>
            </c:ext>
          </c:extLst>
        </c:ser>
        <c:ser>
          <c:idx val="2"/>
          <c:order val="1"/>
          <c:tx>
            <c:v>Standard Table</c:v>
          </c:tx>
          <c:spPr>
            <a:ln w="28575" cap="rnd">
              <a:solidFill>
                <a:schemeClr val="accent3"/>
              </a:solidFill>
              <a:round/>
            </a:ln>
            <a:effectLst/>
          </c:spPr>
          <c:marker>
            <c:symbol val="none"/>
          </c:marker>
          <c:cat>
            <c:numRef>
              <c:f>'A4'!$D$30:$D$73</c:f>
              <c:numCache>
                <c:formatCode>General</c:formatCode>
                <c:ptCount val="44"/>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numCache>
            </c:numRef>
          </c:cat>
          <c:val>
            <c:numRef>
              <c:f>'A4'!$I$30:$I$73</c:f>
              <c:numCache>
                <c:formatCode>0.000000</c:formatCode>
                <c:ptCount val="44"/>
                <c:pt idx="0">
                  <c:v>1.72E-3</c:v>
                </c:pt>
                <c:pt idx="1">
                  <c:v>2.1199999999999999E-3</c:v>
                </c:pt>
                <c:pt idx="2">
                  <c:v>2.4599999999999999E-3</c:v>
                </c:pt>
                <c:pt idx="3">
                  <c:v>2.8500000000000001E-3</c:v>
                </c:pt>
                <c:pt idx="4">
                  <c:v>3.2799999999999999E-3</c:v>
                </c:pt>
                <c:pt idx="5">
                  <c:v>3.79E-3</c:v>
                </c:pt>
                <c:pt idx="6">
                  <c:v>4.3299999999999996E-3</c:v>
                </c:pt>
                <c:pt idx="7">
                  <c:v>5.1200000000000004E-3</c:v>
                </c:pt>
                <c:pt idx="8">
                  <c:v>5.9100000000000003E-3</c:v>
                </c:pt>
                <c:pt idx="9">
                  <c:v>6.5599999999999999E-3</c:v>
                </c:pt>
                <c:pt idx="10">
                  <c:v>7.4000000000000003E-3</c:v>
                </c:pt>
                <c:pt idx="11">
                  <c:v>8.3199999999999993E-3</c:v>
                </c:pt>
                <c:pt idx="12">
                  <c:v>9.1999999999999998E-3</c:v>
                </c:pt>
                <c:pt idx="13">
                  <c:v>1.017E-2</c:v>
                </c:pt>
                <c:pt idx="14">
                  <c:v>1.1259999999999999E-2</c:v>
                </c:pt>
                <c:pt idx="15">
                  <c:v>1.251E-2</c:v>
                </c:pt>
                <c:pt idx="16">
                  <c:v>1.396E-2</c:v>
                </c:pt>
                <c:pt idx="17">
                  <c:v>1.559E-2</c:v>
                </c:pt>
                <c:pt idx="18">
                  <c:v>1.745E-2</c:v>
                </c:pt>
                <c:pt idx="19">
                  <c:v>1.959E-2</c:v>
                </c:pt>
                <c:pt idx="20">
                  <c:v>2.2040000000000001E-2</c:v>
                </c:pt>
                <c:pt idx="21">
                  <c:v>2.4850000000000001E-2</c:v>
                </c:pt>
                <c:pt idx="22">
                  <c:v>2.8049999999999999E-2</c:v>
                </c:pt>
                <c:pt idx="23">
                  <c:v>3.1690000000000003E-2</c:v>
                </c:pt>
                <c:pt idx="24">
                  <c:v>3.5830000000000001E-2</c:v>
                </c:pt>
                <c:pt idx="25">
                  <c:v>4.079E-2</c:v>
                </c:pt>
                <c:pt idx="26">
                  <c:v>4.5830000000000003E-2</c:v>
                </c:pt>
                <c:pt idx="27">
                  <c:v>5.1499999999999997E-2</c:v>
                </c:pt>
                <c:pt idx="28">
                  <c:v>5.7869999999999998E-2</c:v>
                </c:pt>
                <c:pt idx="29">
                  <c:v>6.5079999999999999E-2</c:v>
                </c:pt>
                <c:pt idx="30">
                  <c:v>7.3270000000000002E-2</c:v>
                </c:pt>
                <c:pt idx="31">
                  <c:v>8.2589999999999997E-2</c:v>
                </c:pt>
                <c:pt idx="32">
                  <c:v>9.3100000000000002E-2</c:v>
                </c:pt>
                <c:pt idx="33">
                  <c:v>0.10496999999999999</c:v>
                </c:pt>
                <c:pt idx="34">
                  <c:v>0.11814</c:v>
                </c:pt>
                <c:pt idx="35">
                  <c:v>0.13261999999999999</c:v>
                </c:pt>
                <c:pt idx="36">
                  <c:v>0.14773</c:v>
                </c:pt>
                <c:pt idx="37">
                  <c:v>0.16328999999999999</c:v>
                </c:pt>
                <c:pt idx="38">
                  <c:v>0.17927000000000001</c:v>
                </c:pt>
                <c:pt idx="39">
                  <c:v>0.19542000000000001</c:v>
                </c:pt>
                <c:pt idx="40">
                  <c:v>0.2117</c:v>
                </c:pt>
                <c:pt idx="41">
                  <c:v>0.22903999999999999</c:v>
                </c:pt>
                <c:pt idx="42">
                  <c:v>0.24682000000000001</c:v>
                </c:pt>
                <c:pt idx="43">
                  <c:v>0.26512999999999998</c:v>
                </c:pt>
              </c:numCache>
            </c:numRef>
          </c:val>
          <c:smooth val="0"/>
          <c:extLst>
            <c:ext xmlns:c16="http://schemas.microsoft.com/office/drawing/2014/chart" uri="{C3380CC4-5D6E-409C-BE32-E72D297353CC}">
              <c16:uniqueId val="{00000001-9912-4C53-ABED-C6F49E0B2F48}"/>
            </c:ext>
          </c:extLst>
        </c:ser>
        <c:ser>
          <c:idx val="0"/>
          <c:order val="2"/>
          <c:tx>
            <c:v>Adjusted Rates</c:v>
          </c:tx>
          <c:spPr>
            <a:ln w="19050" cap="flat" cmpd="sng" algn="ctr">
              <a:solidFill>
                <a:schemeClr val="accent4"/>
              </a:solidFill>
              <a:prstDash val="solid"/>
              <a:miter lim="800000"/>
            </a:ln>
            <a:effectLst/>
          </c:spPr>
          <c:marker>
            <c:symbol val="circle"/>
            <c:size val="5"/>
            <c:spPr>
              <a:solidFill>
                <a:schemeClr val="lt1"/>
              </a:solidFill>
              <a:ln w="19050" cap="flat" cmpd="sng" algn="ctr">
                <a:solidFill>
                  <a:schemeClr val="accent4"/>
                </a:solidFill>
                <a:prstDash val="solid"/>
                <a:miter lim="800000"/>
              </a:ln>
              <a:effectLst/>
            </c:spPr>
          </c:marker>
          <c:val>
            <c:numRef>
              <c:f>'A4'!$N$30:$N$73</c:f>
              <c:numCache>
                <c:formatCode>_(* #,##0.000000_);_(* \(#,##0.000000\);_(* "-"??_);_(@_)</c:formatCode>
                <c:ptCount val="44"/>
                <c:pt idx="0">
                  <c:v>1.9905684376792291E-3</c:v>
                </c:pt>
                <c:pt idx="1">
                  <c:v>2.4534913301627707E-3</c:v>
                </c:pt>
                <c:pt idx="2">
                  <c:v>2.846975788773781E-3</c:v>
                </c:pt>
                <c:pt idx="3">
                  <c:v>3.2983256089452345E-3</c:v>
                </c:pt>
                <c:pt idx="4">
                  <c:v>3.7959677183650414E-3</c:v>
                </c:pt>
                <c:pt idx="5">
                  <c:v>4.3861944062815574E-3</c:v>
                </c:pt>
                <c:pt idx="6">
                  <c:v>5.0111403111343378E-3</c:v>
                </c:pt>
                <c:pt idx="7">
                  <c:v>5.9254130237893334E-3</c:v>
                </c:pt>
                <c:pt idx="8">
                  <c:v>6.8396857364443281E-3</c:v>
                </c:pt>
                <c:pt idx="9">
                  <c:v>7.5919354367300828E-3</c:v>
                </c:pt>
                <c:pt idx="10">
                  <c:v>8.5640735109455204E-3</c:v>
                </c:pt>
                <c:pt idx="11">
                  <c:v>9.6287961636576658E-3</c:v>
                </c:pt>
                <c:pt idx="12">
                  <c:v>1.0647226527121459E-2</c:v>
                </c:pt>
                <c:pt idx="13">
                  <c:v>1.1769814541394048E-2</c:v>
                </c:pt>
                <c:pt idx="14">
                  <c:v>1.3031279423411696E-2</c:v>
                </c:pt>
                <c:pt idx="15">
                  <c:v>1.4477913462422765E-2</c:v>
                </c:pt>
                <c:pt idx="16">
                  <c:v>1.6156008947675604E-2</c:v>
                </c:pt>
                <c:pt idx="17">
                  <c:v>1.8042419734546036E-2</c:v>
                </c:pt>
                <c:pt idx="18">
                  <c:v>2.0195011184594505E-2</c:v>
                </c:pt>
                <c:pt idx="19">
                  <c:v>2.2671648659381451E-2</c:v>
                </c:pt>
                <c:pt idx="20">
                  <c:v>2.5507051375843148E-2</c:v>
                </c:pt>
                <c:pt idx="21">
                  <c:v>2.8759084695540026E-2</c:v>
                </c:pt>
                <c:pt idx="22">
                  <c:v>3.2462467835408355E-2</c:v>
                </c:pt>
                <c:pt idx="23">
                  <c:v>3.6675066157008593E-2</c:v>
                </c:pt>
                <c:pt idx="24">
                  <c:v>4.1466318094213243E-2</c:v>
                </c:pt>
                <c:pt idx="25">
                  <c:v>4.7206561961009162E-2</c:v>
                </c:pt>
                <c:pt idx="26">
                  <c:v>5.303939040630179E-2</c:v>
                </c:pt>
                <c:pt idx="27">
                  <c:v>5.9601322407255984E-2</c:v>
                </c:pt>
                <c:pt idx="28">
                  <c:v>6.6973369470056388E-2</c:v>
                </c:pt>
                <c:pt idx="29">
                  <c:v>7.5317554607072221E-2</c:v>
                </c:pt>
                <c:pt idx="30">
                  <c:v>8.4795900830672746E-2</c:v>
                </c:pt>
                <c:pt idx="31">
                  <c:v>9.5582004225539266E-2</c:v>
                </c:pt>
                <c:pt idx="32">
                  <c:v>0.10774530322554432</c:v>
                </c:pt>
                <c:pt idx="33">
                  <c:v>0.12148254005999341</c:v>
                </c:pt>
                <c:pt idx="34">
                  <c:v>0.13672427629501402</c:v>
                </c:pt>
                <c:pt idx="35">
                  <c:v>0.15348208500291821</c:v>
                </c:pt>
                <c:pt idx="36">
                  <c:v>0.17096899726648401</c:v>
                </c:pt>
                <c:pt idx="37">
                  <c:v>0.18897669778409379</c:v>
                </c:pt>
                <c:pt idx="38">
                  <c:v>0.2074704673388113</c:v>
                </c:pt>
                <c:pt idx="39">
                  <c:v>0.22616097912283428</c:v>
                </c:pt>
                <c:pt idx="40">
                  <c:v>0.24500194084691443</c:v>
                </c:pt>
                <c:pt idx="41">
                  <c:v>0.26506964823607593</c:v>
                </c:pt>
                <c:pt idx="42">
                  <c:v>0.28564657080696937</c:v>
                </c:pt>
                <c:pt idx="43">
                  <c:v>0.30683686621040346</c:v>
                </c:pt>
              </c:numCache>
            </c:numRef>
          </c:val>
          <c:smooth val="0"/>
          <c:extLst>
            <c:ext xmlns:c16="http://schemas.microsoft.com/office/drawing/2014/chart" uri="{C3380CC4-5D6E-409C-BE32-E72D297353CC}">
              <c16:uniqueId val="{00000002-9912-4C53-ABED-C6F49E0B2F48}"/>
            </c:ext>
          </c:extLst>
        </c:ser>
        <c:dLbls>
          <c:showLegendKey val="0"/>
          <c:showVal val="0"/>
          <c:showCatName val="0"/>
          <c:showSerName val="0"/>
          <c:showPercent val="0"/>
          <c:showBubbleSize val="0"/>
        </c:dLbls>
        <c:marker val="1"/>
        <c:smooth val="0"/>
        <c:axId val="216746479"/>
        <c:axId val="216745519"/>
      </c:lineChart>
      <c:catAx>
        <c:axId val="21674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5519"/>
        <c:crosses val="autoZero"/>
        <c:auto val="1"/>
        <c:lblAlgn val="ctr"/>
        <c:lblOffset val="100"/>
        <c:noMultiLvlLbl val="0"/>
      </c:catAx>
      <c:valAx>
        <c:axId val="216745519"/>
        <c:scaling>
          <c:orientation val="minMax"/>
        </c:scaling>
        <c:delete val="0"/>
        <c:axPos val="l"/>
        <c:majorGridlines>
          <c:spPr>
            <a:ln w="9525" cap="flat" cmpd="sng" algn="ctr">
              <a:solidFill>
                <a:schemeClr val="tx1">
                  <a:lumMod val="15000"/>
                  <a:lumOff val="85000"/>
                </a:schemeClr>
              </a:solidFill>
              <a:round/>
            </a:ln>
            <a:effectLst/>
          </c:spPr>
        </c:majorGridlines>
        <c:numFmt formatCode="_(* #,##0.000000_);_(* \(#,##0.0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Ratio:</a:t>
            </a:r>
            <a:r>
              <a:rPr lang="en-US" baseline="0"/>
              <a:t> Actual / Expected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210641569212136E-2"/>
          <c:y val="1.8127127673397261E-2"/>
          <c:w val="0.9286797434344376"/>
          <c:h val="0.72579740651230473"/>
        </c:manualLayout>
      </c:layout>
      <c:lineChart>
        <c:grouping val="standard"/>
        <c:varyColors val="0"/>
        <c:ser>
          <c:idx val="1"/>
          <c:order val="0"/>
          <c:tx>
            <c:v>Subject Experience</c:v>
          </c:tx>
          <c:spPr>
            <a:ln w="28575" cap="rnd">
              <a:solidFill>
                <a:schemeClr val="accent2"/>
              </a:solidFill>
              <a:round/>
            </a:ln>
            <a:effectLst/>
          </c:spPr>
          <c:marker>
            <c:symbol val="circle"/>
            <c:size val="5"/>
            <c:spPr>
              <a:solidFill>
                <a:srgbClr val="FFC000"/>
              </a:solidFill>
              <a:ln w="19050" cap="flat" cmpd="sng" algn="ctr">
                <a:solidFill>
                  <a:schemeClr val="accent2"/>
                </a:solidFill>
                <a:prstDash val="solid"/>
                <a:miter lim="800000"/>
              </a:ln>
              <a:effectLst/>
            </c:spPr>
          </c:marker>
          <c:cat>
            <c:numRef>
              <c:f>'A4'!$D$30:$D$73</c:f>
              <c:numCache>
                <c:formatCode>General</c:formatCode>
                <c:ptCount val="44"/>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numCache>
            </c:numRef>
          </c:cat>
          <c:val>
            <c:numRef>
              <c:f>'A4'!$L$30:$L$73</c:f>
              <c:numCache>
                <c:formatCode>_(* #,##0.00_);_(* \(#,##0.00\);_(* "-"??_);_(@_)</c:formatCode>
                <c:ptCount val="44"/>
                <c:pt idx="0">
                  <c:v>1.2095603651259557</c:v>
                </c:pt>
                <c:pt idx="1">
                  <c:v>1.1884890870290943</c:v>
                </c:pt>
                <c:pt idx="2">
                  <c:v>1.6533516745145758</c:v>
                </c:pt>
                <c:pt idx="3">
                  <c:v>1.7922217575721369</c:v>
                </c:pt>
                <c:pt idx="4">
                  <c:v>1.1843209442083322</c:v>
                </c:pt>
                <c:pt idx="5">
                  <c:v>1.0933103981107597</c:v>
                </c:pt>
                <c:pt idx="6">
                  <c:v>0.97997262609797775</c:v>
                </c:pt>
                <c:pt idx="7">
                  <c:v>1.4380794927733842</c:v>
                </c:pt>
                <c:pt idx="8">
                  <c:v>1.6747762472765257</c:v>
                </c:pt>
                <c:pt idx="9">
                  <c:v>0.95096085084369253</c:v>
                </c:pt>
                <c:pt idx="10">
                  <c:v>1.3967455827920943</c:v>
                </c:pt>
                <c:pt idx="11">
                  <c:v>1.3578978273634763</c:v>
                </c:pt>
                <c:pt idx="12">
                  <c:v>1.0683466129966088</c:v>
                </c:pt>
                <c:pt idx="13">
                  <c:v>0.9256859332765579</c:v>
                </c:pt>
                <c:pt idx="14">
                  <c:v>1.3774603980135571</c:v>
                </c:pt>
                <c:pt idx="15">
                  <c:v>1.4154236593018634</c:v>
                </c:pt>
                <c:pt idx="16">
                  <c:v>1.3421645202260357</c:v>
                </c:pt>
                <c:pt idx="17">
                  <c:v>1.5388478383504152</c:v>
                </c:pt>
                <c:pt idx="18">
                  <c:v>1.7344181115726394</c:v>
                </c:pt>
                <c:pt idx="19">
                  <c:v>1.2555346658502105</c:v>
                </c:pt>
                <c:pt idx="20">
                  <c:v>1.2484706234862295</c:v>
                </c:pt>
                <c:pt idx="21">
                  <c:v>1.4518483449717916</c:v>
                </c:pt>
                <c:pt idx="22">
                  <c:v>0.93057434085654567</c:v>
                </c:pt>
                <c:pt idx="23">
                  <c:v>0.97695652641153108</c:v>
                </c:pt>
                <c:pt idx="24">
                  <c:v>0.72304593221588997</c:v>
                </c:pt>
                <c:pt idx="25">
                  <c:v>1.2188259154427334</c:v>
                </c:pt>
                <c:pt idx="26">
                  <c:v>0.92936051914886741</c:v>
                </c:pt>
                <c:pt idx="27">
                  <c:v>1.0005187875194546</c:v>
                </c:pt>
                <c:pt idx="28">
                  <c:v>1.259598038648404</c:v>
                </c:pt>
                <c:pt idx="29">
                  <c:v>0.93992336763917406</c:v>
                </c:pt>
                <c:pt idx="30">
                  <c:v>0.87606372579758673</c:v>
                </c:pt>
                <c:pt idx="31">
                  <c:v>1.0842988110663536</c:v>
                </c:pt>
                <c:pt idx="32">
                  <c:v>0.96912528367104656</c:v>
                </c:pt>
                <c:pt idx="33">
                  <c:v>1.2702041853227906</c:v>
                </c:pt>
                <c:pt idx="34">
                  <c:v>0.98139520048677209</c:v>
                </c:pt>
                <c:pt idx="35">
                  <c:v>0.81517198090867227</c:v>
                </c:pt>
                <c:pt idx="36">
                  <c:v>1.1494707964172273</c:v>
                </c:pt>
                <c:pt idx="37">
                  <c:v>1.1664902350186201</c:v>
                </c:pt>
                <c:pt idx="38">
                  <c:v>1.3125125098848598</c:v>
                </c:pt>
                <c:pt idx="39">
                  <c:v>1.2792958755500972</c:v>
                </c:pt>
                <c:pt idx="40">
                  <c:v>1.1809163911195086</c:v>
                </c:pt>
                <c:pt idx="41">
                  <c:v>1.637268599371289</c:v>
                </c:pt>
                <c:pt idx="42">
                  <c:v>1.7363723708428351</c:v>
                </c:pt>
                <c:pt idx="43">
                  <c:v>1.257244873584028</c:v>
                </c:pt>
              </c:numCache>
            </c:numRef>
          </c:val>
          <c:smooth val="0"/>
          <c:extLst>
            <c:ext xmlns:c16="http://schemas.microsoft.com/office/drawing/2014/chart" uri="{C3380CC4-5D6E-409C-BE32-E72D297353CC}">
              <c16:uniqueId val="{00000000-7355-497F-9A00-49325D47FED8}"/>
            </c:ext>
          </c:extLst>
        </c:ser>
        <c:dLbls>
          <c:showLegendKey val="0"/>
          <c:showVal val="0"/>
          <c:showCatName val="0"/>
          <c:showSerName val="0"/>
          <c:showPercent val="0"/>
          <c:showBubbleSize val="0"/>
        </c:dLbls>
        <c:marker val="1"/>
        <c:smooth val="0"/>
        <c:axId val="216746479"/>
        <c:axId val="216745519"/>
      </c:lineChart>
      <c:catAx>
        <c:axId val="21674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5519"/>
        <c:crosses val="autoZero"/>
        <c:auto val="1"/>
        <c:lblAlgn val="ctr"/>
        <c:lblOffset val="100"/>
        <c:noMultiLvlLbl val="0"/>
      </c:catAx>
      <c:valAx>
        <c:axId val="216745519"/>
        <c:scaling>
          <c:orientation val="minMax"/>
        </c:scaling>
        <c:delete val="0"/>
        <c:axPos val="l"/>
        <c:majorGridlines>
          <c:spPr>
            <a:ln w="9525" cap="flat" cmpd="sng" algn="ctr">
              <a:no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Mortality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Subject Experience</c:v>
          </c:tx>
          <c:spPr>
            <a:ln w="19050" cap="flat" cmpd="sng" algn="ctr">
              <a:solidFill>
                <a:schemeClr val="accent2"/>
              </a:solidFill>
              <a:prstDash val="solid"/>
              <a:miter lim="800000"/>
            </a:ln>
            <a:effectLst/>
          </c:spPr>
          <c:marker>
            <c:symbol val="circle"/>
            <c:size val="5"/>
            <c:spPr>
              <a:solidFill>
                <a:srgbClr val="FFC000"/>
              </a:solidFill>
              <a:ln w="19050" cap="flat" cmpd="sng" algn="ctr">
                <a:solidFill>
                  <a:schemeClr val="accent2"/>
                </a:solidFill>
                <a:prstDash val="solid"/>
                <a:miter lim="800000"/>
              </a:ln>
              <a:effectLst/>
            </c:spPr>
          </c:marker>
          <c:cat>
            <c:numRef>
              <c:f>'A4'!$D$30:$D$73</c:f>
              <c:numCache>
                <c:formatCode>General</c:formatCode>
                <c:ptCount val="44"/>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numCache>
            </c:numRef>
          </c:cat>
          <c:val>
            <c:numRef>
              <c:f>'A4'!$G$30:$G$73</c:f>
              <c:numCache>
                <c:formatCode>_(* #,##0.000000_);_(* \(#,##0.000000\);_(* "-"??_);_(@_)</c:formatCode>
                <c:ptCount val="44"/>
                <c:pt idx="0">
                  <c:v>2.0804438280166435E-3</c:v>
                </c:pt>
                <c:pt idx="1">
                  <c:v>2.5195968645016797E-3</c:v>
                </c:pt>
                <c:pt idx="2">
                  <c:v>4.0672451193058566E-3</c:v>
                </c:pt>
                <c:pt idx="3">
                  <c:v>5.1078320090805901E-3</c:v>
                </c:pt>
                <c:pt idx="4">
                  <c:v>3.8845726970033298E-3</c:v>
                </c:pt>
                <c:pt idx="5">
                  <c:v>4.1436464088397788E-3</c:v>
                </c:pt>
                <c:pt idx="6">
                  <c:v>4.2432814710042432E-3</c:v>
                </c:pt>
                <c:pt idx="7">
                  <c:v>7.362967002999727E-3</c:v>
                </c:pt>
                <c:pt idx="8">
                  <c:v>9.8979276214042691E-3</c:v>
                </c:pt>
                <c:pt idx="9">
                  <c:v>6.238303181534623E-3</c:v>
                </c:pt>
                <c:pt idx="10">
                  <c:v>1.0335917312661499E-2</c:v>
                </c:pt>
                <c:pt idx="11">
                  <c:v>1.1297709923664122E-2</c:v>
                </c:pt>
                <c:pt idx="12">
                  <c:v>9.8287888395688014E-3</c:v>
                </c:pt>
                <c:pt idx="13">
                  <c:v>9.4142259414225944E-3</c:v>
                </c:pt>
                <c:pt idx="14">
                  <c:v>1.5510204081632653E-2</c:v>
                </c:pt>
                <c:pt idx="15">
                  <c:v>1.7706949977866312E-2</c:v>
                </c:pt>
                <c:pt idx="16">
                  <c:v>1.873661670235546E-2</c:v>
                </c:pt>
                <c:pt idx="17">
                  <c:v>2.3990637799882971E-2</c:v>
                </c:pt>
                <c:pt idx="18">
                  <c:v>3.0265596046942556E-2</c:v>
                </c:pt>
                <c:pt idx="19">
                  <c:v>2.4595924104005622E-2</c:v>
                </c:pt>
                <c:pt idx="20">
                  <c:v>2.7516292541636494E-2</c:v>
                </c:pt>
                <c:pt idx="21">
                  <c:v>3.607843137254902E-2</c:v>
                </c:pt>
                <c:pt idx="22">
                  <c:v>2.6102610261026102E-2</c:v>
                </c:pt>
                <c:pt idx="23">
                  <c:v>3.0959752321981424E-2</c:v>
                </c:pt>
                <c:pt idx="24">
                  <c:v>2.5906735751295335E-2</c:v>
                </c:pt>
                <c:pt idx="25">
                  <c:v>4.9715909090909088E-2</c:v>
                </c:pt>
                <c:pt idx="26">
                  <c:v>4.2592592592592592E-2</c:v>
                </c:pt>
                <c:pt idx="27">
                  <c:v>5.1526717557251911E-2</c:v>
                </c:pt>
                <c:pt idx="28">
                  <c:v>7.289293849658314E-2</c:v>
                </c:pt>
                <c:pt idx="29">
                  <c:v>6.1170212765957445E-2</c:v>
                </c:pt>
                <c:pt idx="30">
                  <c:v>6.4189189189189186E-2</c:v>
                </c:pt>
                <c:pt idx="31">
                  <c:v>8.9552238805970144E-2</c:v>
                </c:pt>
                <c:pt idx="32">
                  <c:v>9.0225563909774431E-2</c:v>
                </c:pt>
                <c:pt idx="33">
                  <c:v>0.13333333333333333</c:v>
                </c:pt>
                <c:pt idx="34">
                  <c:v>0.11594202898550725</c:v>
                </c:pt>
                <c:pt idx="35">
                  <c:v>0.10810810810810811</c:v>
                </c:pt>
                <c:pt idx="36">
                  <c:v>0.16981132075471697</c:v>
                </c:pt>
                <c:pt idx="37">
                  <c:v>0.19047619047619047</c:v>
                </c:pt>
                <c:pt idx="38">
                  <c:v>0.23529411764705882</c:v>
                </c:pt>
                <c:pt idx="39">
                  <c:v>0.25</c:v>
                </c:pt>
                <c:pt idx="40">
                  <c:v>0.25</c:v>
                </c:pt>
                <c:pt idx="41">
                  <c:v>0.375</c:v>
                </c:pt>
                <c:pt idx="42">
                  <c:v>0.42857142857142855</c:v>
                </c:pt>
                <c:pt idx="43">
                  <c:v>0.33333333333333331</c:v>
                </c:pt>
              </c:numCache>
            </c:numRef>
          </c:val>
          <c:smooth val="0"/>
          <c:extLst>
            <c:ext xmlns:c16="http://schemas.microsoft.com/office/drawing/2014/chart" uri="{C3380CC4-5D6E-409C-BE32-E72D297353CC}">
              <c16:uniqueId val="{00000000-AB8E-4D25-968E-4D4409676C99}"/>
            </c:ext>
          </c:extLst>
        </c:ser>
        <c:ser>
          <c:idx val="2"/>
          <c:order val="1"/>
          <c:tx>
            <c:v>Standard Table</c:v>
          </c:tx>
          <c:spPr>
            <a:ln w="28575" cap="rnd">
              <a:solidFill>
                <a:schemeClr val="accent3"/>
              </a:solidFill>
              <a:round/>
            </a:ln>
            <a:effectLst/>
          </c:spPr>
          <c:marker>
            <c:symbol val="none"/>
          </c:marker>
          <c:cat>
            <c:numRef>
              <c:f>'A4'!$D$30:$D$73</c:f>
              <c:numCache>
                <c:formatCode>General</c:formatCode>
                <c:ptCount val="44"/>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pt idx="16">
                  <c:v>71</c:v>
                </c:pt>
                <c:pt idx="17">
                  <c:v>72</c:v>
                </c:pt>
                <c:pt idx="18">
                  <c:v>73</c:v>
                </c:pt>
                <c:pt idx="19">
                  <c:v>74</c:v>
                </c:pt>
                <c:pt idx="20">
                  <c:v>75</c:v>
                </c:pt>
                <c:pt idx="21">
                  <c:v>76</c:v>
                </c:pt>
                <c:pt idx="22">
                  <c:v>77</c:v>
                </c:pt>
                <c:pt idx="23">
                  <c:v>78</c:v>
                </c:pt>
                <c:pt idx="24">
                  <c:v>79</c:v>
                </c:pt>
                <c:pt idx="25">
                  <c:v>80</c:v>
                </c:pt>
                <c:pt idx="26">
                  <c:v>81</c:v>
                </c:pt>
                <c:pt idx="27">
                  <c:v>82</c:v>
                </c:pt>
                <c:pt idx="28">
                  <c:v>83</c:v>
                </c:pt>
                <c:pt idx="29">
                  <c:v>84</c:v>
                </c:pt>
                <c:pt idx="30">
                  <c:v>85</c:v>
                </c:pt>
                <c:pt idx="31">
                  <c:v>86</c:v>
                </c:pt>
                <c:pt idx="32">
                  <c:v>87</c:v>
                </c:pt>
                <c:pt idx="33">
                  <c:v>88</c:v>
                </c:pt>
                <c:pt idx="34">
                  <c:v>89</c:v>
                </c:pt>
                <c:pt idx="35">
                  <c:v>90</c:v>
                </c:pt>
                <c:pt idx="36">
                  <c:v>91</c:v>
                </c:pt>
                <c:pt idx="37">
                  <c:v>92</c:v>
                </c:pt>
                <c:pt idx="38">
                  <c:v>93</c:v>
                </c:pt>
                <c:pt idx="39">
                  <c:v>94</c:v>
                </c:pt>
                <c:pt idx="40">
                  <c:v>95</c:v>
                </c:pt>
                <c:pt idx="41">
                  <c:v>96</c:v>
                </c:pt>
                <c:pt idx="42">
                  <c:v>97</c:v>
                </c:pt>
                <c:pt idx="43">
                  <c:v>98</c:v>
                </c:pt>
              </c:numCache>
            </c:numRef>
          </c:cat>
          <c:val>
            <c:numRef>
              <c:f>'A4'!$I$30:$I$73</c:f>
              <c:numCache>
                <c:formatCode>0.000000</c:formatCode>
                <c:ptCount val="44"/>
                <c:pt idx="0">
                  <c:v>1.72E-3</c:v>
                </c:pt>
                <c:pt idx="1">
                  <c:v>2.1199999999999999E-3</c:v>
                </c:pt>
                <c:pt idx="2">
                  <c:v>2.4599999999999999E-3</c:v>
                </c:pt>
                <c:pt idx="3">
                  <c:v>2.8500000000000001E-3</c:v>
                </c:pt>
                <c:pt idx="4">
                  <c:v>3.2799999999999999E-3</c:v>
                </c:pt>
                <c:pt idx="5">
                  <c:v>3.79E-3</c:v>
                </c:pt>
                <c:pt idx="6">
                  <c:v>4.3299999999999996E-3</c:v>
                </c:pt>
                <c:pt idx="7">
                  <c:v>5.1200000000000004E-3</c:v>
                </c:pt>
                <c:pt idx="8">
                  <c:v>5.9100000000000003E-3</c:v>
                </c:pt>
                <c:pt idx="9">
                  <c:v>6.5599999999999999E-3</c:v>
                </c:pt>
                <c:pt idx="10">
                  <c:v>7.4000000000000003E-3</c:v>
                </c:pt>
                <c:pt idx="11">
                  <c:v>8.3199999999999993E-3</c:v>
                </c:pt>
                <c:pt idx="12">
                  <c:v>9.1999999999999998E-3</c:v>
                </c:pt>
                <c:pt idx="13">
                  <c:v>1.017E-2</c:v>
                </c:pt>
                <c:pt idx="14">
                  <c:v>1.1259999999999999E-2</c:v>
                </c:pt>
                <c:pt idx="15">
                  <c:v>1.251E-2</c:v>
                </c:pt>
                <c:pt idx="16">
                  <c:v>1.396E-2</c:v>
                </c:pt>
                <c:pt idx="17">
                  <c:v>1.559E-2</c:v>
                </c:pt>
                <c:pt idx="18">
                  <c:v>1.745E-2</c:v>
                </c:pt>
                <c:pt idx="19">
                  <c:v>1.959E-2</c:v>
                </c:pt>
                <c:pt idx="20">
                  <c:v>2.2040000000000001E-2</c:v>
                </c:pt>
                <c:pt idx="21">
                  <c:v>2.4850000000000001E-2</c:v>
                </c:pt>
                <c:pt idx="22">
                  <c:v>2.8049999999999999E-2</c:v>
                </c:pt>
                <c:pt idx="23">
                  <c:v>3.1690000000000003E-2</c:v>
                </c:pt>
                <c:pt idx="24">
                  <c:v>3.5830000000000001E-2</c:v>
                </c:pt>
                <c:pt idx="25">
                  <c:v>4.079E-2</c:v>
                </c:pt>
                <c:pt idx="26">
                  <c:v>4.5830000000000003E-2</c:v>
                </c:pt>
                <c:pt idx="27">
                  <c:v>5.1499999999999997E-2</c:v>
                </c:pt>
                <c:pt idx="28">
                  <c:v>5.7869999999999998E-2</c:v>
                </c:pt>
                <c:pt idx="29">
                  <c:v>6.5079999999999999E-2</c:v>
                </c:pt>
                <c:pt idx="30">
                  <c:v>7.3270000000000002E-2</c:v>
                </c:pt>
                <c:pt idx="31">
                  <c:v>8.2589999999999997E-2</c:v>
                </c:pt>
                <c:pt idx="32">
                  <c:v>9.3100000000000002E-2</c:v>
                </c:pt>
                <c:pt idx="33">
                  <c:v>0.10496999999999999</c:v>
                </c:pt>
                <c:pt idx="34">
                  <c:v>0.11814</c:v>
                </c:pt>
                <c:pt idx="35">
                  <c:v>0.13261999999999999</c:v>
                </c:pt>
                <c:pt idx="36">
                  <c:v>0.14773</c:v>
                </c:pt>
                <c:pt idx="37">
                  <c:v>0.16328999999999999</c:v>
                </c:pt>
                <c:pt idx="38">
                  <c:v>0.17927000000000001</c:v>
                </c:pt>
                <c:pt idx="39">
                  <c:v>0.19542000000000001</c:v>
                </c:pt>
                <c:pt idx="40">
                  <c:v>0.2117</c:v>
                </c:pt>
                <c:pt idx="41">
                  <c:v>0.22903999999999999</c:v>
                </c:pt>
                <c:pt idx="42">
                  <c:v>0.24682000000000001</c:v>
                </c:pt>
                <c:pt idx="43">
                  <c:v>0.26512999999999998</c:v>
                </c:pt>
              </c:numCache>
            </c:numRef>
          </c:val>
          <c:smooth val="0"/>
          <c:extLst>
            <c:ext xmlns:c16="http://schemas.microsoft.com/office/drawing/2014/chart" uri="{C3380CC4-5D6E-409C-BE32-E72D297353CC}">
              <c16:uniqueId val="{00000001-AB8E-4D25-968E-4D4409676C99}"/>
            </c:ext>
          </c:extLst>
        </c:ser>
        <c:ser>
          <c:idx val="0"/>
          <c:order val="2"/>
          <c:tx>
            <c:v>Adjusted Rates: GACT</c:v>
          </c:tx>
          <c:spPr>
            <a:ln w="28575" cap="rnd">
              <a:solidFill>
                <a:schemeClr val="accent1"/>
              </a:solidFill>
              <a:round/>
            </a:ln>
            <a:effectLst/>
          </c:spPr>
          <c:marker>
            <c:symbol val="circle"/>
            <c:size val="5"/>
            <c:spPr>
              <a:solidFill>
                <a:schemeClr val="lt1"/>
              </a:solidFill>
              <a:ln w="19050" cap="flat" cmpd="sng" algn="ctr">
                <a:solidFill>
                  <a:schemeClr val="accent4"/>
                </a:solidFill>
                <a:prstDash val="solid"/>
                <a:miter lim="800000"/>
              </a:ln>
              <a:effectLst/>
            </c:spPr>
          </c:marker>
          <c:val>
            <c:numRef>
              <c:f>'A4'!$BD$30:$BD$73</c:f>
              <c:numCache>
                <c:formatCode>_(* #,##0.000000_);_(* \(#,##0.000000\);_(* "-"??_);_(@_)</c:formatCode>
                <c:ptCount val="44"/>
                <c:pt idx="0">
                  <c:v>1.8942810646760443E-3</c:v>
                </c:pt>
                <c:pt idx="1">
                  <c:v>2.334811544833264E-3</c:v>
                </c:pt>
                <c:pt idx="2">
                  <c:v>2.7092624529669006E-3</c:v>
                </c:pt>
                <c:pt idx="3">
                  <c:v>3.1387796711201898E-3</c:v>
                </c:pt>
                <c:pt idx="4">
                  <c:v>3.6123499372892011E-3</c:v>
                </c:pt>
                <c:pt idx="5">
                  <c:v>4.1740262994896561E-3</c:v>
                </c:pt>
                <c:pt idx="6">
                  <c:v>4.7687424477019019E-3</c:v>
                </c:pt>
                <c:pt idx="7">
                  <c:v>5.6387901460124117E-3</c:v>
                </c:pt>
                <c:pt idx="8">
                  <c:v>6.5088378443229206E-3</c:v>
                </c:pt>
                <c:pt idx="9">
                  <c:v>7.2246998745784021E-3</c:v>
                </c:pt>
                <c:pt idx="10">
                  <c:v>8.1498138829085628E-3</c:v>
                </c:pt>
                <c:pt idx="11">
                  <c:v>9.1630339872701676E-3</c:v>
                </c:pt>
                <c:pt idx="12">
                  <c:v>1.0132201043616052E-2</c:v>
                </c:pt>
                <c:pt idx="13">
                  <c:v>1.1200487457997309E-2</c:v>
                </c:pt>
                <c:pt idx="14">
                  <c:v>1.2400933016425732E-2</c:v>
                </c:pt>
                <c:pt idx="15">
                  <c:v>1.3777590766917045E-2</c:v>
                </c:pt>
                <c:pt idx="16">
                  <c:v>1.5374513757486965E-2</c:v>
                </c:pt>
                <c:pt idx="17">
                  <c:v>1.7169675464127634E-2</c:v>
                </c:pt>
                <c:pt idx="18">
                  <c:v>1.9218142196858707E-2</c:v>
                </c:pt>
                <c:pt idx="19">
                  <c:v>2.1574980265699831E-2</c:v>
                </c:pt>
                <c:pt idx="20">
                  <c:v>2.4273229456662802E-2</c:v>
                </c:pt>
                <c:pt idx="21">
                  <c:v>2.7367956079767271E-2</c:v>
                </c:pt>
                <c:pt idx="22">
                  <c:v>3.0892199921025026E-2</c:v>
                </c:pt>
                <c:pt idx="23">
                  <c:v>3.490102729045573E-2</c:v>
                </c:pt>
                <c:pt idx="24">
                  <c:v>3.9460517760082948E-2</c:v>
                </c:pt>
                <c:pt idx="25">
                  <c:v>4.4923095714032468E-2</c:v>
                </c:pt>
                <c:pt idx="26">
                  <c:v>5.0473779764013439E-2</c:v>
                </c:pt>
                <c:pt idx="27">
                  <c:v>5.6718299320242027E-2</c:v>
                </c:pt>
                <c:pt idx="28">
                  <c:v>6.3733747216745754E-2</c:v>
                </c:pt>
                <c:pt idx="29">
                  <c:v>7.1674309121579627E-2</c:v>
                </c:pt>
                <c:pt idx="30">
                  <c:v>8.0694170702798704E-2</c:v>
                </c:pt>
                <c:pt idx="31">
                  <c:v>9.0958530890461922E-2</c:v>
                </c:pt>
                <c:pt idx="32">
                  <c:v>0.10253346925659287</c:v>
                </c:pt>
                <c:pt idx="33">
                  <c:v>0.11560621125525836</c:v>
                </c:pt>
                <c:pt idx="34">
                  <c:v>0.13011067731443482</c:v>
                </c:pt>
                <c:pt idx="35">
                  <c:v>0.14605788069612616</c:v>
                </c:pt>
                <c:pt idx="36">
                  <c:v>0.16269891958406513</c:v>
                </c:pt>
                <c:pt idx="37">
                  <c:v>0.17983555526218098</c:v>
                </c:pt>
                <c:pt idx="38">
                  <c:v>0.19743474794446192</c:v>
                </c:pt>
                <c:pt idx="39">
                  <c:v>0.21522116608080966</c:v>
                </c:pt>
                <c:pt idx="40">
                  <c:v>0.2331507566232085</c:v>
                </c:pt>
                <c:pt idx="41">
                  <c:v>0.25224775293802393</c:v>
                </c:pt>
                <c:pt idx="42">
                  <c:v>0.2718293327810124</c:v>
                </c:pt>
                <c:pt idx="43">
                  <c:v>0.29199461551020905</c:v>
                </c:pt>
              </c:numCache>
            </c:numRef>
          </c:val>
          <c:smooth val="0"/>
          <c:extLst>
            <c:ext xmlns:c16="http://schemas.microsoft.com/office/drawing/2014/chart" uri="{C3380CC4-5D6E-409C-BE32-E72D297353CC}">
              <c16:uniqueId val="{00000002-AB8E-4D25-968E-4D4409676C99}"/>
            </c:ext>
          </c:extLst>
        </c:ser>
        <c:ser>
          <c:idx val="3"/>
          <c:order val="3"/>
          <c:tx>
            <c:v>Adjusted Rates: LFCT</c:v>
          </c:tx>
          <c:spPr>
            <a:ln w="19050" cap="flat" cmpd="sng" algn="ctr">
              <a:solidFill>
                <a:schemeClr val="bg2">
                  <a:lumMod val="90000"/>
                </a:schemeClr>
              </a:solidFill>
              <a:prstDash val="solid"/>
              <a:miter lim="800000"/>
            </a:ln>
            <a:effectLst/>
          </c:spPr>
          <c:marker>
            <c:symbol val="circle"/>
            <c:size val="5"/>
            <c:spPr>
              <a:solidFill>
                <a:schemeClr val="bg2"/>
              </a:solidFill>
              <a:ln w="9525">
                <a:solidFill>
                  <a:schemeClr val="bg2">
                    <a:lumMod val="90000"/>
                  </a:schemeClr>
                </a:solidFill>
              </a:ln>
              <a:effectLst/>
            </c:spPr>
          </c:marker>
          <c:val>
            <c:numRef>
              <c:f>'A4'!$N$30:$N$73</c:f>
              <c:numCache>
                <c:formatCode>_(* #,##0.000000_);_(* \(#,##0.000000\);_(* "-"??_);_(@_)</c:formatCode>
                <c:ptCount val="44"/>
                <c:pt idx="0">
                  <c:v>1.9905684376792291E-3</c:v>
                </c:pt>
                <c:pt idx="1">
                  <c:v>2.4534913301627707E-3</c:v>
                </c:pt>
                <c:pt idx="2">
                  <c:v>2.846975788773781E-3</c:v>
                </c:pt>
                <c:pt idx="3">
                  <c:v>3.2983256089452345E-3</c:v>
                </c:pt>
                <c:pt idx="4">
                  <c:v>3.7959677183650414E-3</c:v>
                </c:pt>
                <c:pt idx="5">
                  <c:v>4.3861944062815574E-3</c:v>
                </c:pt>
                <c:pt idx="6">
                  <c:v>5.0111403111343378E-3</c:v>
                </c:pt>
                <c:pt idx="7">
                  <c:v>5.9254130237893334E-3</c:v>
                </c:pt>
                <c:pt idx="8">
                  <c:v>6.8396857364443281E-3</c:v>
                </c:pt>
                <c:pt idx="9">
                  <c:v>7.5919354367300828E-3</c:v>
                </c:pt>
                <c:pt idx="10">
                  <c:v>8.5640735109455204E-3</c:v>
                </c:pt>
                <c:pt idx="11">
                  <c:v>9.6287961636576658E-3</c:v>
                </c:pt>
                <c:pt idx="12">
                  <c:v>1.0647226527121459E-2</c:v>
                </c:pt>
                <c:pt idx="13">
                  <c:v>1.1769814541394048E-2</c:v>
                </c:pt>
                <c:pt idx="14">
                  <c:v>1.3031279423411696E-2</c:v>
                </c:pt>
                <c:pt idx="15">
                  <c:v>1.4477913462422765E-2</c:v>
                </c:pt>
                <c:pt idx="16">
                  <c:v>1.6156008947675604E-2</c:v>
                </c:pt>
                <c:pt idx="17">
                  <c:v>1.8042419734546036E-2</c:v>
                </c:pt>
                <c:pt idx="18">
                  <c:v>2.0195011184594505E-2</c:v>
                </c:pt>
                <c:pt idx="19">
                  <c:v>2.2671648659381451E-2</c:v>
                </c:pt>
                <c:pt idx="20">
                  <c:v>2.5507051375843148E-2</c:v>
                </c:pt>
                <c:pt idx="21">
                  <c:v>2.8759084695540026E-2</c:v>
                </c:pt>
                <c:pt idx="22">
                  <c:v>3.2462467835408355E-2</c:v>
                </c:pt>
                <c:pt idx="23">
                  <c:v>3.6675066157008593E-2</c:v>
                </c:pt>
                <c:pt idx="24">
                  <c:v>4.1466318094213243E-2</c:v>
                </c:pt>
                <c:pt idx="25">
                  <c:v>4.7206561961009162E-2</c:v>
                </c:pt>
                <c:pt idx="26">
                  <c:v>5.303939040630179E-2</c:v>
                </c:pt>
                <c:pt idx="27">
                  <c:v>5.9601322407255984E-2</c:v>
                </c:pt>
                <c:pt idx="28">
                  <c:v>6.6973369470056388E-2</c:v>
                </c:pt>
                <c:pt idx="29">
                  <c:v>7.5317554607072221E-2</c:v>
                </c:pt>
                <c:pt idx="30">
                  <c:v>8.4795900830672746E-2</c:v>
                </c:pt>
                <c:pt idx="31">
                  <c:v>9.5582004225539266E-2</c:v>
                </c:pt>
                <c:pt idx="32">
                  <c:v>0.10774530322554432</c:v>
                </c:pt>
                <c:pt idx="33">
                  <c:v>0.12148254005999341</c:v>
                </c:pt>
                <c:pt idx="34">
                  <c:v>0.13672427629501402</c:v>
                </c:pt>
                <c:pt idx="35">
                  <c:v>0.15348208500291821</c:v>
                </c:pt>
                <c:pt idx="36">
                  <c:v>0.17096899726648401</c:v>
                </c:pt>
                <c:pt idx="37">
                  <c:v>0.18897669778409379</c:v>
                </c:pt>
                <c:pt idx="38">
                  <c:v>0.2074704673388113</c:v>
                </c:pt>
                <c:pt idx="39">
                  <c:v>0.22616097912283428</c:v>
                </c:pt>
                <c:pt idx="40">
                  <c:v>0.24500194084691443</c:v>
                </c:pt>
                <c:pt idx="41">
                  <c:v>0.26506964823607593</c:v>
                </c:pt>
                <c:pt idx="42">
                  <c:v>0.28564657080696937</c:v>
                </c:pt>
                <c:pt idx="43">
                  <c:v>0.30683686621040346</c:v>
                </c:pt>
              </c:numCache>
            </c:numRef>
          </c:val>
          <c:smooth val="0"/>
          <c:extLst>
            <c:ext xmlns:c16="http://schemas.microsoft.com/office/drawing/2014/chart" uri="{C3380CC4-5D6E-409C-BE32-E72D297353CC}">
              <c16:uniqueId val="{00000003-AB8E-4D25-968E-4D4409676C99}"/>
            </c:ext>
          </c:extLst>
        </c:ser>
        <c:dLbls>
          <c:showLegendKey val="0"/>
          <c:showVal val="0"/>
          <c:showCatName val="0"/>
          <c:showSerName val="0"/>
          <c:showPercent val="0"/>
          <c:showBubbleSize val="0"/>
        </c:dLbls>
        <c:marker val="1"/>
        <c:smooth val="0"/>
        <c:axId val="216746479"/>
        <c:axId val="216745519"/>
      </c:lineChart>
      <c:catAx>
        <c:axId val="21674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5519"/>
        <c:crosses val="autoZero"/>
        <c:auto val="1"/>
        <c:lblAlgn val="ctr"/>
        <c:lblOffset val="100"/>
        <c:noMultiLvlLbl val="0"/>
      </c:catAx>
      <c:valAx>
        <c:axId val="216745519"/>
        <c:scaling>
          <c:orientation val="minMax"/>
        </c:scaling>
        <c:delete val="0"/>
        <c:axPos val="l"/>
        <c:majorGridlines>
          <c:spPr>
            <a:ln w="9525" cap="flat" cmpd="sng" algn="ctr">
              <a:solidFill>
                <a:schemeClr val="tx1">
                  <a:lumMod val="15000"/>
                  <a:lumOff val="85000"/>
                </a:schemeClr>
              </a:solidFill>
              <a:round/>
            </a:ln>
            <a:effectLst/>
          </c:spPr>
        </c:majorGridlines>
        <c:numFmt formatCode="_(* #,##0.000000_);_(* \(#,##0.0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674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15.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image" Target="../media/image19.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94FD8FC9-73DE-407D-87C9-2180FD9F1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9DED9192-F121-4CD9-9237-47A32F90C743}"/>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FD734030-ECEE-4A52-8B14-2590B40D4295}"/>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457200</xdr:colOff>
      <xdr:row>34</xdr:row>
      <xdr:rowOff>66675</xdr:rowOff>
    </xdr:from>
    <xdr:ext cx="1457941" cy="1222359"/>
    <xdr:pic>
      <xdr:nvPicPr>
        <xdr:cNvPr id="2" name="Picture 1">
          <a:extLst>
            <a:ext uri="{FF2B5EF4-FFF2-40B4-BE49-F238E27FC236}">
              <a16:creationId xmlns:a16="http://schemas.microsoft.com/office/drawing/2014/main" id="{1B027705-1A13-4836-A5A5-6D9F12312FF7}"/>
            </a:ext>
          </a:extLst>
        </xdr:cNvPr>
        <xdr:cNvPicPr>
          <a:picLocks noChangeAspect="1"/>
        </xdr:cNvPicPr>
      </xdr:nvPicPr>
      <xdr:blipFill>
        <a:blip xmlns:r="http://schemas.openxmlformats.org/officeDocument/2006/relationships" r:embed="rId1"/>
        <a:stretch>
          <a:fillRect/>
        </a:stretch>
      </xdr:blipFill>
      <xdr:spPr>
        <a:xfrm>
          <a:off x="1676400" y="5855970"/>
          <a:ext cx="1457941" cy="1222359"/>
        </a:xfrm>
        <a:prstGeom prst="rect">
          <a:avLst/>
        </a:prstGeom>
      </xdr:spPr>
    </xdr:pic>
    <xdr:clientData/>
  </xdr:oneCellAnchor>
  <xdr:twoCellAnchor>
    <xdr:from>
      <xdr:col>14</xdr:col>
      <xdr:colOff>0</xdr:colOff>
      <xdr:row>47</xdr:row>
      <xdr:rowOff>0</xdr:rowOff>
    </xdr:from>
    <xdr:to>
      <xdr:col>14</xdr:col>
      <xdr:colOff>209550</xdr:colOff>
      <xdr:row>47</xdr:row>
      <xdr:rowOff>180975</xdr:rowOff>
    </xdr:to>
    <xdr:pic>
      <xdr:nvPicPr>
        <xdr:cNvPr id="3" name="Picture 2">
          <a:extLst>
            <a:ext uri="{FF2B5EF4-FFF2-40B4-BE49-F238E27FC236}">
              <a16:creationId xmlns:a16="http://schemas.microsoft.com/office/drawing/2014/main" id="{6F626CF0-F77A-447A-B96C-F15681739D1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814387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48</xdr:row>
      <xdr:rowOff>0</xdr:rowOff>
    </xdr:from>
    <xdr:to>
      <xdr:col>14</xdr:col>
      <xdr:colOff>209550</xdr:colOff>
      <xdr:row>48</xdr:row>
      <xdr:rowOff>180975</xdr:rowOff>
    </xdr:to>
    <xdr:pic>
      <xdr:nvPicPr>
        <xdr:cNvPr id="4" name="Picture 3">
          <a:extLst>
            <a:ext uri="{FF2B5EF4-FFF2-40B4-BE49-F238E27FC236}">
              <a16:creationId xmlns:a16="http://schemas.microsoft.com/office/drawing/2014/main" id="{B42EABC2-11E3-4D31-A326-FD598CC6F81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832485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607943</xdr:colOff>
      <xdr:row>56</xdr:row>
      <xdr:rowOff>165998</xdr:rowOff>
    </xdr:from>
    <xdr:to>
      <xdr:col>14</xdr:col>
      <xdr:colOff>207066</xdr:colOff>
      <xdr:row>57</xdr:row>
      <xdr:rowOff>146601</xdr:rowOff>
    </xdr:to>
    <xdr:pic>
      <xdr:nvPicPr>
        <xdr:cNvPr id="5" name="Picture 4">
          <a:extLst>
            <a:ext uri="{FF2B5EF4-FFF2-40B4-BE49-F238E27FC236}">
              <a16:creationId xmlns:a16="http://schemas.microsoft.com/office/drawing/2014/main" id="{DD161DFC-829C-4874-A4D6-A2CEE3DA6F38}"/>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2743" y="9942458"/>
          <a:ext cx="212533" cy="155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49</xdr:row>
      <xdr:rowOff>0</xdr:rowOff>
    </xdr:from>
    <xdr:to>
      <xdr:col>14</xdr:col>
      <xdr:colOff>209550</xdr:colOff>
      <xdr:row>49</xdr:row>
      <xdr:rowOff>180975</xdr:rowOff>
    </xdr:to>
    <xdr:pic>
      <xdr:nvPicPr>
        <xdr:cNvPr id="6" name="Picture 5">
          <a:extLst>
            <a:ext uri="{FF2B5EF4-FFF2-40B4-BE49-F238E27FC236}">
              <a16:creationId xmlns:a16="http://schemas.microsoft.com/office/drawing/2014/main" id="{FC9AEF9F-3201-4BF7-87E8-439D80FCF99C}"/>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850582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50</xdr:row>
      <xdr:rowOff>0</xdr:rowOff>
    </xdr:from>
    <xdr:to>
      <xdr:col>14</xdr:col>
      <xdr:colOff>209550</xdr:colOff>
      <xdr:row>50</xdr:row>
      <xdr:rowOff>180975</xdr:rowOff>
    </xdr:to>
    <xdr:pic>
      <xdr:nvPicPr>
        <xdr:cNvPr id="7" name="Picture 6">
          <a:extLst>
            <a:ext uri="{FF2B5EF4-FFF2-40B4-BE49-F238E27FC236}">
              <a16:creationId xmlns:a16="http://schemas.microsoft.com/office/drawing/2014/main" id="{3AC2082B-2CAB-48A2-B5C7-74F9799A55A4}"/>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868680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51</xdr:row>
      <xdr:rowOff>0</xdr:rowOff>
    </xdr:from>
    <xdr:to>
      <xdr:col>14</xdr:col>
      <xdr:colOff>209550</xdr:colOff>
      <xdr:row>51</xdr:row>
      <xdr:rowOff>180975</xdr:rowOff>
    </xdr:to>
    <xdr:pic>
      <xdr:nvPicPr>
        <xdr:cNvPr id="8" name="Picture 7">
          <a:extLst>
            <a:ext uri="{FF2B5EF4-FFF2-40B4-BE49-F238E27FC236}">
              <a16:creationId xmlns:a16="http://schemas.microsoft.com/office/drawing/2014/main" id="{E73BC12B-D61D-4B9D-9127-0DABAF36564A}"/>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886777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8283</xdr:colOff>
      <xdr:row>57</xdr:row>
      <xdr:rowOff>173935</xdr:rowOff>
    </xdr:from>
    <xdr:to>
      <xdr:col>14</xdr:col>
      <xdr:colOff>240016</xdr:colOff>
      <xdr:row>58</xdr:row>
      <xdr:rowOff>161097</xdr:rowOff>
    </xdr:to>
    <xdr:pic>
      <xdr:nvPicPr>
        <xdr:cNvPr id="9" name="Picture 8">
          <a:extLst>
            <a:ext uri="{FF2B5EF4-FFF2-40B4-BE49-F238E27FC236}">
              <a16:creationId xmlns:a16="http://schemas.microsoft.com/office/drawing/2014/main" id="{39F7C7F6-51B4-4D51-AFC0-4F25DE7DF53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4588" y="10123750"/>
          <a:ext cx="231733" cy="173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60</xdr:row>
      <xdr:rowOff>59681</xdr:rowOff>
    </xdr:from>
    <xdr:to>
      <xdr:col>14</xdr:col>
      <xdr:colOff>265043</xdr:colOff>
      <xdr:row>61</xdr:row>
      <xdr:rowOff>38514</xdr:rowOff>
    </xdr:to>
    <xdr:pic>
      <xdr:nvPicPr>
        <xdr:cNvPr id="10" name="Picture 9">
          <a:extLst>
            <a:ext uri="{FF2B5EF4-FFF2-40B4-BE49-F238E27FC236}">
              <a16:creationId xmlns:a16="http://schemas.microsoft.com/office/drawing/2014/main" id="{89930D9B-96B0-4522-971C-22F4049BF7F3}"/>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10552421"/>
          <a:ext cx="265043" cy="163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52</xdr:row>
      <xdr:rowOff>0</xdr:rowOff>
    </xdr:from>
    <xdr:to>
      <xdr:col>14</xdr:col>
      <xdr:colOff>209550</xdr:colOff>
      <xdr:row>52</xdr:row>
      <xdr:rowOff>180975</xdr:rowOff>
    </xdr:to>
    <xdr:pic>
      <xdr:nvPicPr>
        <xdr:cNvPr id="11" name="Picture 10">
          <a:extLst>
            <a:ext uri="{FF2B5EF4-FFF2-40B4-BE49-F238E27FC236}">
              <a16:creationId xmlns:a16="http://schemas.microsoft.com/office/drawing/2014/main" id="{8563D5E8-491C-4C59-9094-CE0B0043DCBE}"/>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904875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53</xdr:row>
      <xdr:rowOff>0</xdr:rowOff>
    </xdr:from>
    <xdr:to>
      <xdr:col>14</xdr:col>
      <xdr:colOff>209550</xdr:colOff>
      <xdr:row>53</xdr:row>
      <xdr:rowOff>180975</xdr:rowOff>
    </xdr:to>
    <xdr:pic>
      <xdr:nvPicPr>
        <xdr:cNvPr id="12" name="Picture 11">
          <a:extLst>
            <a:ext uri="{FF2B5EF4-FFF2-40B4-BE49-F238E27FC236}">
              <a16:creationId xmlns:a16="http://schemas.microsoft.com/office/drawing/2014/main" id="{947A802A-6F7E-43D6-A734-45CAD6126B95}"/>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922972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9525</xdr:colOff>
      <xdr:row>59</xdr:row>
      <xdr:rowOff>24848</xdr:rowOff>
    </xdr:from>
    <xdr:to>
      <xdr:col>14</xdr:col>
      <xdr:colOff>222892</xdr:colOff>
      <xdr:row>59</xdr:row>
      <xdr:rowOff>188429</xdr:rowOff>
    </xdr:to>
    <xdr:pic>
      <xdr:nvPicPr>
        <xdr:cNvPr id="13" name="Picture 12">
          <a:extLst>
            <a:ext uri="{FF2B5EF4-FFF2-40B4-BE49-F238E27FC236}">
              <a16:creationId xmlns:a16="http://schemas.microsoft.com/office/drawing/2014/main" id="{5CC1B3EB-BDBD-4F6B-827E-3BA5281EA7CF}"/>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5830" y="10336613"/>
          <a:ext cx="209557" cy="157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604633</xdr:colOff>
      <xdr:row>47</xdr:row>
      <xdr:rowOff>1</xdr:rowOff>
    </xdr:from>
    <xdr:ext cx="4979096" cy="2261920"/>
    <xdr:pic>
      <xdr:nvPicPr>
        <xdr:cNvPr id="14" name="Picture 13">
          <a:extLst>
            <a:ext uri="{FF2B5EF4-FFF2-40B4-BE49-F238E27FC236}">
              <a16:creationId xmlns:a16="http://schemas.microsoft.com/office/drawing/2014/main" id="{1991F252-6901-4D5B-B2FB-36AD6057D4AE}"/>
            </a:ext>
          </a:extLst>
        </xdr:cNvPr>
        <xdr:cNvPicPr>
          <a:picLocks noChangeAspect="1"/>
        </xdr:cNvPicPr>
      </xdr:nvPicPr>
      <xdr:blipFill>
        <a:blip xmlns:r="http://schemas.openxmlformats.org/officeDocument/2006/relationships" r:embed="rId13"/>
        <a:stretch>
          <a:fillRect/>
        </a:stretch>
      </xdr:blipFill>
      <xdr:spPr>
        <a:xfrm>
          <a:off x="1212328" y="8143876"/>
          <a:ext cx="4979096" cy="2261920"/>
        </a:xfrm>
        <a:prstGeom prst="rect">
          <a:avLst/>
        </a:prstGeom>
      </xdr:spPr>
    </xdr:pic>
    <xdr:clientData/>
  </xdr:oneCellAnchor>
  <xdr:twoCellAnchor>
    <xdr:from>
      <xdr:col>13</xdr:col>
      <xdr:colOff>604631</xdr:colOff>
      <xdr:row>55</xdr:row>
      <xdr:rowOff>157370</xdr:rowOff>
    </xdr:from>
    <xdr:to>
      <xdr:col>14</xdr:col>
      <xdr:colOff>212725</xdr:colOff>
      <xdr:row>56</xdr:row>
      <xdr:rowOff>165777</xdr:rowOff>
    </xdr:to>
    <xdr:pic>
      <xdr:nvPicPr>
        <xdr:cNvPr id="15" name="Picture 14">
          <a:extLst>
            <a:ext uri="{FF2B5EF4-FFF2-40B4-BE49-F238E27FC236}">
              <a16:creationId xmlns:a16="http://schemas.microsoft.com/office/drawing/2014/main" id="{4422CF4C-3435-4476-9520-1A75E1DA7CA9}"/>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27526" y="9750950"/>
          <a:ext cx="215789" cy="191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11</xdr:row>
      <xdr:rowOff>8572</xdr:rowOff>
    </xdr:from>
    <xdr:to>
      <xdr:col>14</xdr:col>
      <xdr:colOff>276225</xdr:colOff>
      <xdr:row>12</xdr:row>
      <xdr:rowOff>38100</xdr:rowOff>
    </xdr:to>
    <xdr:pic>
      <xdr:nvPicPr>
        <xdr:cNvPr id="2" name="Picture 1">
          <a:extLst>
            <a:ext uri="{FF2B5EF4-FFF2-40B4-BE49-F238E27FC236}">
              <a16:creationId xmlns:a16="http://schemas.microsoft.com/office/drawing/2014/main" id="{96F0C608-0BB4-4C6C-81E7-2AB04EF75E7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1639252"/>
          <a:ext cx="278130" cy="208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9</xdr:row>
      <xdr:rowOff>0</xdr:rowOff>
    </xdr:from>
    <xdr:to>
      <xdr:col>14</xdr:col>
      <xdr:colOff>209550</xdr:colOff>
      <xdr:row>9</xdr:row>
      <xdr:rowOff>180975</xdr:rowOff>
    </xdr:to>
    <xdr:pic>
      <xdr:nvPicPr>
        <xdr:cNvPr id="3" name="Picture 2">
          <a:extLst>
            <a:ext uri="{FF2B5EF4-FFF2-40B4-BE49-F238E27FC236}">
              <a16:creationId xmlns:a16="http://schemas.microsoft.com/office/drawing/2014/main" id="{74A294A9-F6E5-41C0-8C42-B8FB7823E5F5}"/>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126682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10</xdr:row>
      <xdr:rowOff>0</xdr:rowOff>
    </xdr:from>
    <xdr:to>
      <xdr:col>14</xdr:col>
      <xdr:colOff>209550</xdr:colOff>
      <xdr:row>10</xdr:row>
      <xdr:rowOff>180975</xdr:rowOff>
    </xdr:to>
    <xdr:pic>
      <xdr:nvPicPr>
        <xdr:cNvPr id="4" name="Picture 3">
          <a:extLst>
            <a:ext uri="{FF2B5EF4-FFF2-40B4-BE49-F238E27FC236}">
              <a16:creationId xmlns:a16="http://schemas.microsoft.com/office/drawing/2014/main" id="{81C93DCC-1E06-4CAB-8AC7-88E3F59D0CD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144780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12</xdr:row>
      <xdr:rowOff>21907</xdr:rowOff>
    </xdr:from>
    <xdr:to>
      <xdr:col>14</xdr:col>
      <xdr:colOff>257175</xdr:colOff>
      <xdr:row>13</xdr:row>
      <xdr:rowOff>28575</xdr:rowOff>
    </xdr:to>
    <xdr:pic>
      <xdr:nvPicPr>
        <xdr:cNvPr id="5" name="Picture 4">
          <a:extLst>
            <a:ext uri="{FF2B5EF4-FFF2-40B4-BE49-F238E27FC236}">
              <a16:creationId xmlns:a16="http://schemas.microsoft.com/office/drawing/2014/main" id="{8894F3F0-3D1B-408E-B5A0-88275D001BFD}"/>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0" y="1827847"/>
          <a:ext cx="255270" cy="189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47625</xdr:colOff>
      <xdr:row>16</xdr:row>
      <xdr:rowOff>95251</xdr:rowOff>
    </xdr:from>
    <xdr:to>
      <xdr:col>20</xdr:col>
      <xdr:colOff>376767</xdr:colOff>
      <xdr:row>18</xdr:row>
      <xdr:rowOff>10479</xdr:rowOff>
    </xdr:to>
    <xdr:pic>
      <xdr:nvPicPr>
        <xdr:cNvPr id="6" name="Picture 5">
          <a:extLst>
            <a:ext uri="{FF2B5EF4-FFF2-40B4-BE49-F238E27FC236}">
              <a16:creationId xmlns:a16="http://schemas.microsoft.com/office/drawing/2014/main" id="{05BFB30C-1EEC-42FD-81F2-9E81FB9CFC4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41530" y="2625091"/>
          <a:ext cx="325332" cy="282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390525</xdr:colOff>
      <xdr:row>18</xdr:row>
      <xdr:rowOff>127634</xdr:rowOff>
    </xdr:from>
    <xdr:to>
      <xdr:col>21</xdr:col>
      <xdr:colOff>95250</xdr:colOff>
      <xdr:row>19</xdr:row>
      <xdr:rowOff>178117</xdr:rowOff>
    </xdr:to>
    <xdr:pic>
      <xdr:nvPicPr>
        <xdr:cNvPr id="7" name="Picture 6">
          <a:extLst>
            <a:ext uri="{FF2B5EF4-FFF2-40B4-BE49-F238E27FC236}">
              <a16:creationId xmlns:a16="http://schemas.microsoft.com/office/drawing/2014/main" id="{54F35544-6C45-41BF-88D0-B75332FB9914}"/>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84430" y="3027044"/>
          <a:ext cx="308610"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476250</xdr:colOff>
      <xdr:row>27</xdr:row>
      <xdr:rowOff>142875</xdr:rowOff>
    </xdr:from>
    <xdr:to>
      <xdr:col>10</xdr:col>
      <xdr:colOff>154057</xdr:colOff>
      <xdr:row>28</xdr:row>
      <xdr:rowOff>172721</xdr:rowOff>
    </xdr:to>
    <xdr:pic>
      <xdr:nvPicPr>
        <xdr:cNvPr id="8" name="Picture 7">
          <a:extLst>
            <a:ext uri="{FF2B5EF4-FFF2-40B4-BE49-F238E27FC236}">
              <a16:creationId xmlns:a16="http://schemas.microsoft.com/office/drawing/2014/main" id="{C8515055-3766-4BE2-8D35-010C06B3C738}"/>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58840" y="4665345"/>
          <a:ext cx="291217" cy="208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25</xdr:row>
      <xdr:rowOff>0</xdr:rowOff>
    </xdr:from>
    <xdr:to>
      <xdr:col>15</xdr:col>
      <xdr:colOff>209550</xdr:colOff>
      <xdr:row>25</xdr:row>
      <xdr:rowOff>180975</xdr:rowOff>
    </xdr:to>
    <xdr:pic>
      <xdr:nvPicPr>
        <xdr:cNvPr id="9" name="Picture 8">
          <a:extLst>
            <a:ext uri="{FF2B5EF4-FFF2-40B4-BE49-F238E27FC236}">
              <a16:creationId xmlns:a16="http://schemas.microsoft.com/office/drawing/2014/main" id="{4FC073C1-2FB5-4873-9F20-E1C4E5BB01B9}"/>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416242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26</xdr:row>
      <xdr:rowOff>0</xdr:rowOff>
    </xdr:from>
    <xdr:to>
      <xdr:col>15</xdr:col>
      <xdr:colOff>209550</xdr:colOff>
      <xdr:row>26</xdr:row>
      <xdr:rowOff>180975</xdr:rowOff>
    </xdr:to>
    <xdr:pic>
      <xdr:nvPicPr>
        <xdr:cNvPr id="10" name="Picture 9">
          <a:extLst>
            <a:ext uri="{FF2B5EF4-FFF2-40B4-BE49-F238E27FC236}">
              <a16:creationId xmlns:a16="http://schemas.microsoft.com/office/drawing/2014/main" id="{2AAE14F0-D84A-4249-B53A-19308298C36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434340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885825</xdr:colOff>
      <xdr:row>32</xdr:row>
      <xdr:rowOff>164782</xdr:rowOff>
    </xdr:from>
    <xdr:to>
      <xdr:col>15</xdr:col>
      <xdr:colOff>247650</xdr:colOff>
      <xdr:row>33</xdr:row>
      <xdr:rowOff>171450</xdr:rowOff>
    </xdr:to>
    <xdr:pic>
      <xdr:nvPicPr>
        <xdr:cNvPr id="11" name="Picture 10">
          <a:extLst>
            <a:ext uri="{FF2B5EF4-FFF2-40B4-BE49-F238E27FC236}">
              <a16:creationId xmlns:a16="http://schemas.microsoft.com/office/drawing/2014/main" id="{B91DCB15-A826-402F-A90D-34249F1FF64F}"/>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5905" y="5597842"/>
          <a:ext cx="241935" cy="180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27</xdr:row>
      <xdr:rowOff>0</xdr:rowOff>
    </xdr:from>
    <xdr:to>
      <xdr:col>15</xdr:col>
      <xdr:colOff>209550</xdr:colOff>
      <xdr:row>27</xdr:row>
      <xdr:rowOff>180975</xdr:rowOff>
    </xdr:to>
    <xdr:pic>
      <xdr:nvPicPr>
        <xdr:cNvPr id="12" name="Picture 11">
          <a:extLst>
            <a:ext uri="{FF2B5EF4-FFF2-40B4-BE49-F238E27FC236}">
              <a16:creationId xmlns:a16="http://schemas.microsoft.com/office/drawing/2014/main" id="{B721E8D5-960C-4A7B-93CB-61A2B505C592}"/>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452437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28</xdr:row>
      <xdr:rowOff>0</xdr:rowOff>
    </xdr:from>
    <xdr:to>
      <xdr:col>15</xdr:col>
      <xdr:colOff>209550</xdr:colOff>
      <xdr:row>28</xdr:row>
      <xdr:rowOff>180975</xdr:rowOff>
    </xdr:to>
    <xdr:pic>
      <xdr:nvPicPr>
        <xdr:cNvPr id="13" name="Picture 12">
          <a:extLst>
            <a:ext uri="{FF2B5EF4-FFF2-40B4-BE49-F238E27FC236}">
              <a16:creationId xmlns:a16="http://schemas.microsoft.com/office/drawing/2014/main" id="{9EA3D6E6-5864-409F-94A6-8720EB5E25A6}"/>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470535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29</xdr:row>
      <xdr:rowOff>0</xdr:rowOff>
    </xdr:from>
    <xdr:to>
      <xdr:col>15</xdr:col>
      <xdr:colOff>209550</xdr:colOff>
      <xdr:row>29</xdr:row>
      <xdr:rowOff>180975</xdr:rowOff>
    </xdr:to>
    <xdr:pic>
      <xdr:nvPicPr>
        <xdr:cNvPr id="14" name="Picture 13">
          <a:extLst>
            <a:ext uri="{FF2B5EF4-FFF2-40B4-BE49-F238E27FC236}">
              <a16:creationId xmlns:a16="http://schemas.microsoft.com/office/drawing/2014/main" id="{F8436454-60EB-4BE1-9AB2-2CEDEA72FE5A}"/>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488632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34</xdr:row>
      <xdr:rowOff>0</xdr:rowOff>
    </xdr:from>
    <xdr:to>
      <xdr:col>15</xdr:col>
      <xdr:colOff>285750</xdr:colOff>
      <xdr:row>35</xdr:row>
      <xdr:rowOff>28575</xdr:rowOff>
    </xdr:to>
    <xdr:pic>
      <xdr:nvPicPr>
        <xdr:cNvPr id="15" name="Picture 14">
          <a:extLst>
            <a:ext uri="{FF2B5EF4-FFF2-40B4-BE49-F238E27FC236}">
              <a16:creationId xmlns:a16="http://schemas.microsoft.com/office/drawing/2014/main" id="{147EBFF6-DBFC-40D1-80CB-B00151078C7F}"/>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5791200"/>
          <a:ext cx="281940" cy="20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36</xdr:row>
      <xdr:rowOff>76200</xdr:rowOff>
    </xdr:from>
    <xdr:to>
      <xdr:col>15</xdr:col>
      <xdr:colOff>342900</xdr:colOff>
      <xdr:row>37</xdr:row>
      <xdr:rowOff>104775</xdr:rowOff>
    </xdr:to>
    <xdr:pic>
      <xdr:nvPicPr>
        <xdr:cNvPr id="16" name="Picture 15">
          <a:extLst>
            <a:ext uri="{FF2B5EF4-FFF2-40B4-BE49-F238E27FC236}">
              <a16:creationId xmlns:a16="http://schemas.microsoft.com/office/drawing/2014/main" id="{2B326C8D-8653-44DD-95CB-E87382F99B1A}"/>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6229350"/>
          <a:ext cx="342900" cy="20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30</xdr:row>
      <xdr:rowOff>0</xdr:rowOff>
    </xdr:from>
    <xdr:to>
      <xdr:col>15</xdr:col>
      <xdr:colOff>209550</xdr:colOff>
      <xdr:row>30</xdr:row>
      <xdr:rowOff>180975</xdr:rowOff>
    </xdr:to>
    <xdr:pic>
      <xdr:nvPicPr>
        <xdr:cNvPr id="17" name="Picture 16">
          <a:extLst>
            <a:ext uri="{FF2B5EF4-FFF2-40B4-BE49-F238E27FC236}">
              <a16:creationId xmlns:a16="http://schemas.microsoft.com/office/drawing/2014/main" id="{72A8C03D-78AF-4EF8-BF46-2B63C18B6E1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5067300"/>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31</xdr:row>
      <xdr:rowOff>0</xdr:rowOff>
    </xdr:from>
    <xdr:to>
      <xdr:col>15</xdr:col>
      <xdr:colOff>209550</xdr:colOff>
      <xdr:row>31</xdr:row>
      <xdr:rowOff>180975</xdr:rowOff>
    </xdr:to>
    <xdr:pic>
      <xdr:nvPicPr>
        <xdr:cNvPr id="18" name="Picture 17">
          <a:extLst>
            <a:ext uri="{FF2B5EF4-FFF2-40B4-BE49-F238E27FC236}">
              <a16:creationId xmlns:a16="http://schemas.microsoft.com/office/drawing/2014/main" id="{9AA1E9BC-7F9D-4564-8727-EB9B8DECD53C}"/>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44000" y="5248275"/>
          <a:ext cx="205740" cy="179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238125</xdr:colOff>
      <xdr:row>33</xdr:row>
      <xdr:rowOff>133350</xdr:rowOff>
    </xdr:from>
    <xdr:to>
      <xdr:col>11</xdr:col>
      <xdr:colOff>581025</xdr:colOff>
      <xdr:row>34</xdr:row>
      <xdr:rowOff>161925</xdr:rowOff>
    </xdr:to>
    <xdr:pic>
      <xdr:nvPicPr>
        <xdr:cNvPr id="19" name="Picture 18">
          <a:extLst>
            <a:ext uri="{FF2B5EF4-FFF2-40B4-BE49-F238E27FC236}">
              <a16:creationId xmlns:a16="http://schemas.microsoft.com/office/drawing/2014/main" id="{EF14FB7B-0C9E-4C2D-8D62-5C6EFFC8ECE7}"/>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45630" y="5739765"/>
          <a:ext cx="342900" cy="21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xdr:colOff>
      <xdr:row>35</xdr:row>
      <xdr:rowOff>19050</xdr:rowOff>
    </xdr:from>
    <xdr:to>
      <xdr:col>15</xdr:col>
      <xdr:colOff>295275</xdr:colOff>
      <xdr:row>36</xdr:row>
      <xdr:rowOff>47625</xdr:rowOff>
    </xdr:to>
    <xdr:pic>
      <xdr:nvPicPr>
        <xdr:cNvPr id="20" name="Picture 19">
          <a:extLst>
            <a:ext uri="{FF2B5EF4-FFF2-40B4-BE49-F238E27FC236}">
              <a16:creationId xmlns:a16="http://schemas.microsoft.com/office/drawing/2014/main" id="{4691BCC0-D13D-4355-BEFA-5E9F8F211735}"/>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5430" y="5987415"/>
          <a:ext cx="281940" cy="21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495300</xdr:colOff>
      <xdr:row>36</xdr:row>
      <xdr:rowOff>152400</xdr:rowOff>
    </xdr:from>
    <xdr:to>
      <xdr:col>12</xdr:col>
      <xdr:colOff>171450</xdr:colOff>
      <xdr:row>37</xdr:row>
      <xdr:rowOff>180975</xdr:rowOff>
    </xdr:to>
    <xdr:pic>
      <xdr:nvPicPr>
        <xdr:cNvPr id="21" name="Picture 20">
          <a:extLst>
            <a:ext uri="{FF2B5EF4-FFF2-40B4-BE49-F238E27FC236}">
              <a16:creationId xmlns:a16="http://schemas.microsoft.com/office/drawing/2014/main" id="{F82E54EE-84EF-40DE-AE92-BD54D1D95BD2}"/>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00900" y="6305550"/>
          <a:ext cx="281940" cy="20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542925</xdr:colOff>
      <xdr:row>39</xdr:row>
      <xdr:rowOff>171450</xdr:rowOff>
    </xdr:from>
    <xdr:to>
      <xdr:col>12</xdr:col>
      <xdr:colOff>219075</xdr:colOff>
      <xdr:row>41</xdr:row>
      <xdr:rowOff>9525</xdr:rowOff>
    </xdr:to>
    <xdr:pic>
      <xdr:nvPicPr>
        <xdr:cNvPr id="22" name="Picture 21">
          <a:extLst>
            <a:ext uri="{FF2B5EF4-FFF2-40B4-BE49-F238E27FC236}">
              <a16:creationId xmlns:a16="http://schemas.microsoft.com/office/drawing/2014/main" id="{073D4F74-1176-44E6-ABCE-67C7656E71AC}"/>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50430" y="6863715"/>
          <a:ext cx="281940" cy="20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476250</xdr:colOff>
      <xdr:row>47</xdr:row>
      <xdr:rowOff>142875</xdr:rowOff>
    </xdr:from>
    <xdr:to>
      <xdr:col>10</xdr:col>
      <xdr:colOff>154057</xdr:colOff>
      <xdr:row>48</xdr:row>
      <xdr:rowOff>172721</xdr:rowOff>
    </xdr:to>
    <xdr:pic>
      <xdr:nvPicPr>
        <xdr:cNvPr id="23" name="Picture 22">
          <a:extLst>
            <a:ext uri="{FF2B5EF4-FFF2-40B4-BE49-F238E27FC236}">
              <a16:creationId xmlns:a16="http://schemas.microsoft.com/office/drawing/2014/main" id="{F4FE1E49-27B0-4FE5-B781-8890FBD565DD}"/>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58840" y="8284845"/>
          <a:ext cx="291217" cy="208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49</xdr:row>
      <xdr:rowOff>133350</xdr:rowOff>
    </xdr:from>
    <xdr:to>
      <xdr:col>12</xdr:col>
      <xdr:colOff>314325</xdr:colOff>
      <xdr:row>50</xdr:row>
      <xdr:rowOff>161925</xdr:rowOff>
    </xdr:to>
    <xdr:pic>
      <xdr:nvPicPr>
        <xdr:cNvPr id="24" name="Picture 23">
          <a:extLst>
            <a:ext uri="{FF2B5EF4-FFF2-40B4-BE49-F238E27FC236}">
              <a16:creationId xmlns:a16="http://schemas.microsoft.com/office/drawing/2014/main" id="{4BD85D04-C368-40AE-BFCF-8D61DB94C175}"/>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41870" y="8635365"/>
          <a:ext cx="289560" cy="21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419100</xdr:colOff>
      <xdr:row>49</xdr:row>
      <xdr:rowOff>171450</xdr:rowOff>
    </xdr:from>
    <xdr:to>
      <xdr:col>10</xdr:col>
      <xdr:colOff>66675</xdr:colOff>
      <xdr:row>50</xdr:row>
      <xdr:rowOff>178118</xdr:rowOff>
    </xdr:to>
    <xdr:pic>
      <xdr:nvPicPr>
        <xdr:cNvPr id="25" name="Picture 24">
          <a:extLst>
            <a:ext uri="{FF2B5EF4-FFF2-40B4-BE49-F238E27FC236}">
              <a16:creationId xmlns:a16="http://schemas.microsoft.com/office/drawing/2014/main" id="{76AFEE1A-8F2B-46BD-8545-296058105B4B}"/>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05500" y="8673465"/>
          <a:ext cx="255270" cy="187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xdr:colOff>
      <xdr:row>51</xdr:row>
      <xdr:rowOff>180975</xdr:rowOff>
    </xdr:from>
    <xdr:to>
      <xdr:col>9</xdr:col>
      <xdr:colOff>285750</xdr:colOff>
      <xdr:row>52</xdr:row>
      <xdr:rowOff>187643</xdr:rowOff>
    </xdr:to>
    <xdr:pic>
      <xdr:nvPicPr>
        <xdr:cNvPr id="26" name="Picture 25">
          <a:extLst>
            <a:ext uri="{FF2B5EF4-FFF2-40B4-BE49-F238E27FC236}">
              <a16:creationId xmlns:a16="http://schemas.microsoft.com/office/drawing/2014/main" id="{C94ABCA8-606C-42C1-81AA-E6EA77D37FBC}"/>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13070" y="9046845"/>
          <a:ext cx="255270" cy="180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447675</xdr:colOff>
      <xdr:row>48</xdr:row>
      <xdr:rowOff>104775</xdr:rowOff>
    </xdr:from>
    <xdr:to>
      <xdr:col>17</xdr:col>
      <xdr:colOff>800100</xdr:colOff>
      <xdr:row>48</xdr:row>
      <xdr:rowOff>366252</xdr:rowOff>
    </xdr:to>
    <xdr:pic>
      <xdr:nvPicPr>
        <xdr:cNvPr id="2" name="Picture 1">
          <a:extLst>
            <a:ext uri="{FF2B5EF4-FFF2-40B4-BE49-F238E27FC236}">
              <a16:creationId xmlns:a16="http://schemas.microsoft.com/office/drawing/2014/main" id="{24E937CE-1C70-435B-8BB0-5EFA3E01558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08970" y="8427720"/>
          <a:ext cx="163830" cy="78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447675</xdr:colOff>
      <xdr:row>73</xdr:row>
      <xdr:rowOff>104775</xdr:rowOff>
    </xdr:from>
    <xdr:to>
      <xdr:col>2</xdr:col>
      <xdr:colOff>800100</xdr:colOff>
      <xdr:row>73</xdr:row>
      <xdr:rowOff>366252</xdr:rowOff>
    </xdr:to>
    <xdr:pic>
      <xdr:nvPicPr>
        <xdr:cNvPr id="2" name="Picture 1">
          <a:extLst>
            <a:ext uri="{FF2B5EF4-FFF2-40B4-BE49-F238E27FC236}">
              <a16:creationId xmlns:a16="http://schemas.microsoft.com/office/drawing/2014/main" id="{E1DCE73E-0E4C-4D4B-8B55-9242312EE2D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64970" y="12952095"/>
          <a:ext cx="163830" cy="78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23812</xdr:colOff>
      <xdr:row>51</xdr:row>
      <xdr:rowOff>128588</xdr:rowOff>
    </xdr:from>
    <xdr:to>
      <xdr:col>28</xdr:col>
      <xdr:colOff>147637</xdr:colOff>
      <xdr:row>71</xdr:row>
      <xdr:rowOff>166688</xdr:rowOff>
    </xdr:to>
    <xdr:graphicFrame macro="">
      <xdr:nvGraphicFramePr>
        <xdr:cNvPr id="2" name="Chart 1">
          <a:extLst>
            <a:ext uri="{FF2B5EF4-FFF2-40B4-BE49-F238E27FC236}">
              <a16:creationId xmlns:a16="http://schemas.microsoft.com/office/drawing/2014/main" id="{7F1907BE-67F7-4298-B5A5-0487A2CF4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22411</xdr:colOff>
      <xdr:row>28</xdr:row>
      <xdr:rowOff>705971</xdr:rowOff>
    </xdr:from>
    <xdr:to>
      <xdr:col>28</xdr:col>
      <xdr:colOff>157163</xdr:colOff>
      <xdr:row>49</xdr:row>
      <xdr:rowOff>28576</xdr:rowOff>
    </xdr:to>
    <xdr:graphicFrame macro="">
      <xdr:nvGraphicFramePr>
        <xdr:cNvPr id="3" name="Chart 2">
          <a:extLst>
            <a:ext uri="{FF2B5EF4-FFF2-40B4-BE49-F238E27FC236}">
              <a16:creationId xmlns:a16="http://schemas.microsoft.com/office/drawing/2014/main" id="{3663735B-2609-4BBF-B9F5-7F95E5E94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428625</xdr:colOff>
      <xdr:row>36</xdr:row>
      <xdr:rowOff>85725</xdr:rowOff>
    </xdr:from>
    <xdr:to>
      <xdr:col>28</xdr:col>
      <xdr:colOff>47625</xdr:colOff>
      <xdr:row>36</xdr:row>
      <xdr:rowOff>95250</xdr:rowOff>
    </xdr:to>
    <xdr:cxnSp macro="">
      <xdr:nvCxnSpPr>
        <xdr:cNvPr id="4" name="Straight Connector 3">
          <a:extLst>
            <a:ext uri="{FF2B5EF4-FFF2-40B4-BE49-F238E27FC236}">
              <a16:creationId xmlns:a16="http://schemas.microsoft.com/office/drawing/2014/main" id="{BDCB01D8-37AE-4C52-A510-B461C7B486B8}"/>
            </a:ext>
          </a:extLst>
        </xdr:cNvPr>
        <xdr:cNvCxnSpPr/>
      </xdr:nvCxnSpPr>
      <xdr:spPr>
        <a:xfrm flipV="1">
          <a:off x="9574530" y="6240780"/>
          <a:ext cx="7543800" cy="381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9525</xdr:colOff>
      <xdr:row>15</xdr:row>
      <xdr:rowOff>47625</xdr:rowOff>
    </xdr:from>
    <xdr:ext cx="1710700" cy="385215"/>
    <xdr:pic>
      <xdr:nvPicPr>
        <xdr:cNvPr id="5" name="Picture 4">
          <a:extLst>
            <a:ext uri="{FF2B5EF4-FFF2-40B4-BE49-F238E27FC236}">
              <a16:creationId xmlns:a16="http://schemas.microsoft.com/office/drawing/2014/main" id="{FAA5655F-2258-47D1-A993-E10E7571C9BA}"/>
            </a:ext>
          </a:extLst>
        </xdr:cNvPr>
        <xdr:cNvPicPr>
          <a:picLocks noChangeAspect="1"/>
        </xdr:cNvPicPr>
      </xdr:nvPicPr>
      <xdr:blipFill>
        <a:blip xmlns:r="http://schemas.openxmlformats.org/officeDocument/2006/relationships" r:embed="rId3"/>
        <a:stretch>
          <a:fillRect/>
        </a:stretch>
      </xdr:blipFill>
      <xdr:spPr>
        <a:xfrm>
          <a:off x="1230630" y="2402205"/>
          <a:ext cx="1710700" cy="385215"/>
        </a:xfrm>
        <a:prstGeom prst="rect">
          <a:avLst/>
        </a:prstGeom>
      </xdr:spPr>
    </xdr:pic>
    <xdr:clientData/>
  </xdr:oneCellAnchor>
  <xdr:oneCellAnchor>
    <xdr:from>
      <xdr:col>2</xdr:col>
      <xdr:colOff>333375</xdr:colOff>
      <xdr:row>18</xdr:row>
      <xdr:rowOff>165399</xdr:rowOff>
    </xdr:from>
    <xdr:ext cx="1763582" cy="498369"/>
    <xdr:pic>
      <xdr:nvPicPr>
        <xdr:cNvPr id="6" name="Picture 5">
          <a:extLst>
            <a:ext uri="{FF2B5EF4-FFF2-40B4-BE49-F238E27FC236}">
              <a16:creationId xmlns:a16="http://schemas.microsoft.com/office/drawing/2014/main" id="{D1D6456C-BD2E-4DF6-878C-5474DD945462}"/>
            </a:ext>
          </a:extLst>
        </xdr:cNvPr>
        <xdr:cNvPicPr>
          <a:picLocks noChangeAspect="1"/>
        </xdr:cNvPicPr>
      </xdr:nvPicPr>
      <xdr:blipFill>
        <a:blip xmlns:r="http://schemas.openxmlformats.org/officeDocument/2006/relationships" r:embed="rId4"/>
        <a:stretch>
          <a:fillRect/>
        </a:stretch>
      </xdr:blipFill>
      <xdr:spPr>
        <a:xfrm>
          <a:off x="1550670" y="3064809"/>
          <a:ext cx="1763582" cy="498369"/>
        </a:xfrm>
        <a:prstGeom prst="rect">
          <a:avLst/>
        </a:prstGeom>
      </xdr:spPr>
    </xdr:pic>
    <xdr:clientData/>
  </xdr:oneCellAnchor>
  <xdr:oneCellAnchor>
    <xdr:from>
      <xdr:col>2</xdr:col>
      <xdr:colOff>258285</xdr:colOff>
      <xdr:row>17</xdr:row>
      <xdr:rowOff>117030</xdr:rowOff>
    </xdr:from>
    <xdr:ext cx="3123089" cy="187231"/>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274415D0-B36D-4F0B-AACF-3CBD0A362644}"/>
                </a:ext>
              </a:extLst>
            </xdr:cNvPr>
            <xdr:cNvSpPr txBox="1"/>
          </xdr:nvSpPr>
          <xdr:spPr>
            <a:xfrm>
              <a:off x="1475580" y="2831655"/>
              <a:ext cx="3123089"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𝑚</m:t>
                        </m:r>
                      </m:e>
                    </m:acc>
                    <m:r>
                      <a:rPr lang="en-US" sz="1100" i="1" kern="1200">
                        <a:latin typeface="Cambria Math" panose="02040503050406030204" pitchFamily="18" charset="0"/>
                      </a:rPr>
                      <m:t>=</m:t>
                    </m:r>
                    <m:r>
                      <a:rPr lang="en-US" sz="1100" b="0" i="1" kern="1200">
                        <a:latin typeface="Cambria Math" panose="02040503050406030204" pitchFamily="18" charset="0"/>
                      </a:rPr>
                      <m:t>𝑠𝑡𝑎𝑛𝑑𝑎𝑟𝑑</m:t>
                    </m:r>
                    <m:r>
                      <a:rPr lang="en-US" sz="1100" b="0" i="1" kern="1200">
                        <a:latin typeface="Cambria Math" panose="02040503050406030204" pitchFamily="18" charset="0"/>
                      </a:rPr>
                      <m:t> </m:t>
                    </m:r>
                    <m:r>
                      <a:rPr lang="en-US" sz="1100" b="0" i="1" kern="1200">
                        <a:latin typeface="Cambria Math" panose="02040503050406030204" pitchFamily="18" charset="0"/>
                      </a:rPr>
                      <m:t>𝑚𝑜𝑟𝑡𝑎𝑙𝑖𝑡𝑦</m:t>
                    </m:r>
                    <m:r>
                      <a:rPr lang="en-US" sz="1100" b="0" i="1" kern="1200">
                        <a:latin typeface="Cambria Math" panose="02040503050406030204" pitchFamily="18" charset="0"/>
                      </a:rPr>
                      <m:t> </m:t>
                    </m:r>
                    <m:r>
                      <a:rPr lang="en-US" sz="1100" b="0" i="1" kern="1200">
                        <a:latin typeface="Cambria Math" panose="02040503050406030204" pitchFamily="18" charset="0"/>
                      </a:rPr>
                      <m:t>𝑟𝑎𝑡𝑒𝑠</m:t>
                    </m:r>
                    <m:r>
                      <a:rPr lang="en-US" sz="1100" b="0" i="1" kern="1200">
                        <a:latin typeface="Cambria Math" panose="02040503050406030204" pitchFamily="18" charset="0"/>
                      </a:rPr>
                      <m:t> </m:t>
                    </m:r>
                    <m:r>
                      <a:rPr lang="en-US" sz="1100" b="0" i="1" kern="1200">
                        <a:latin typeface="Cambria Math" panose="02040503050406030204" pitchFamily="18" charset="0"/>
                      </a:rPr>
                      <m:t>𝑥</m:t>
                    </m:r>
                    <m:r>
                      <a:rPr lang="en-US" sz="1100" b="0" i="1" kern="1200">
                        <a:latin typeface="Cambria Math" panose="02040503050406030204" pitchFamily="18" charset="0"/>
                      </a:rPr>
                      <m:t> </m:t>
                    </m:r>
                    <m:acc>
                      <m:accPr>
                        <m:chr m:val="̂"/>
                        <m:ctrlPr>
                          <a:rPr lang="en-US" sz="1100" b="0" i="1" kern="1200">
                            <a:latin typeface="Cambria Math" panose="02040503050406030204" pitchFamily="18" charset="0"/>
                          </a:rPr>
                        </m:ctrlPr>
                      </m:accPr>
                      <m:e>
                        <m:r>
                          <a:rPr lang="en-US" sz="1100" b="0" i="1" kern="1200">
                            <a:latin typeface="Cambria Math" panose="02040503050406030204" pitchFamily="18" charset="0"/>
                          </a:rPr>
                          <m:t>𝑓</m:t>
                        </m:r>
                      </m:e>
                    </m:acc>
                    <m:r>
                      <a:rPr lang="en-US" sz="1100" b="0" i="1" kern="1200">
                        <a:latin typeface="Cambria Math" panose="02040503050406030204" pitchFamily="18" charset="0"/>
                      </a:rPr>
                      <m:t> </m:t>
                    </m:r>
                    <m:r>
                      <a:rPr lang="en-US" sz="1100" b="0" i="1" kern="1200">
                        <a:latin typeface="Cambria Math" panose="02040503050406030204" pitchFamily="18" charset="0"/>
                      </a:rPr>
                      <m:t>𝑎𝑑𝑗𝑢𝑠𝑡𝑚𝑒𝑛𝑡</m:t>
                    </m:r>
                    <m:r>
                      <a:rPr lang="en-US" sz="1100" b="0" i="1" kern="1200">
                        <a:latin typeface="Cambria Math" panose="02040503050406030204" pitchFamily="18" charset="0"/>
                      </a:rPr>
                      <m:t> </m:t>
                    </m:r>
                  </m:oMath>
                </m:oMathPara>
              </a14:m>
              <a:endParaRPr lang="en-US" sz="1100" kern="1200"/>
            </a:p>
          </xdr:txBody>
        </xdr:sp>
      </mc:Choice>
      <mc:Fallback xmlns="">
        <xdr:sp macro="" textlink="">
          <xdr:nvSpPr>
            <xdr:cNvPr id="7" name="TextBox 6">
              <a:extLst>
                <a:ext uri="{FF2B5EF4-FFF2-40B4-BE49-F238E27FC236}">
                  <a16:creationId xmlns:a16="http://schemas.microsoft.com/office/drawing/2014/main" id="{274415D0-B36D-4F0B-AACF-3CBD0A362644}"/>
                </a:ext>
              </a:extLst>
            </xdr:cNvPr>
            <xdr:cNvSpPr txBox="1"/>
          </xdr:nvSpPr>
          <xdr:spPr>
            <a:xfrm>
              <a:off x="1475580" y="2831655"/>
              <a:ext cx="3123089"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kern="1200">
                  <a:latin typeface="Cambria Math" panose="02040503050406030204" pitchFamily="18" charset="0"/>
                </a:rPr>
                <a:t>𝑚 ̂</a:t>
              </a:r>
              <a:r>
                <a:rPr lang="en-US" sz="1100" i="0" kern="1200">
                  <a:latin typeface="Cambria Math" panose="02040503050406030204" pitchFamily="18" charset="0"/>
                </a:rPr>
                <a:t>=</a:t>
              </a:r>
              <a:r>
                <a:rPr lang="en-US" sz="1100" b="0" i="0" kern="1200">
                  <a:latin typeface="Cambria Math" panose="02040503050406030204" pitchFamily="18" charset="0"/>
                </a:rPr>
                <a:t>𝑠𝑡𝑎𝑛𝑑𝑎𝑟𝑑 𝑚𝑜𝑟𝑡𝑎𝑙𝑖𝑡𝑦 𝑟𝑎𝑡𝑒𝑠 𝑥 𝑓 ̂  𝑎𝑑𝑗𝑢𝑠𝑡𝑚𝑒𝑛𝑡 </a:t>
              </a:r>
              <a:endParaRPr lang="en-US" sz="1100" kern="1200"/>
            </a:p>
          </xdr:txBody>
        </xdr:sp>
      </mc:Fallback>
    </mc:AlternateContent>
    <xdr:clientData/>
  </xdr:oneCellAnchor>
  <xdr:oneCellAnchor>
    <xdr:from>
      <xdr:col>2</xdr:col>
      <xdr:colOff>285750</xdr:colOff>
      <xdr:row>21</xdr:row>
      <xdr:rowOff>66675</xdr:rowOff>
    </xdr:from>
    <xdr:ext cx="3138981" cy="469018"/>
    <xdr:pic>
      <xdr:nvPicPr>
        <xdr:cNvPr id="8" name="Picture 7">
          <a:extLst>
            <a:ext uri="{FF2B5EF4-FFF2-40B4-BE49-F238E27FC236}">
              <a16:creationId xmlns:a16="http://schemas.microsoft.com/office/drawing/2014/main" id="{27F020E1-6B1C-4CF2-BC33-EA4D59A78E23}"/>
            </a:ext>
          </a:extLst>
        </xdr:cNvPr>
        <xdr:cNvPicPr>
          <a:picLocks noChangeAspect="1"/>
        </xdr:cNvPicPr>
      </xdr:nvPicPr>
      <xdr:blipFill>
        <a:blip xmlns:r="http://schemas.openxmlformats.org/officeDocument/2006/relationships" r:embed="rId5"/>
        <a:stretch>
          <a:fillRect/>
        </a:stretch>
      </xdr:blipFill>
      <xdr:spPr>
        <a:xfrm>
          <a:off x="1501140" y="3503295"/>
          <a:ext cx="3138981" cy="469018"/>
        </a:xfrm>
        <a:prstGeom prst="rect">
          <a:avLst/>
        </a:prstGeom>
      </xdr:spPr>
    </xdr:pic>
    <xdr:clientData/>
  </xdr:oneCellAnchor>
  <xdr:oneCellAnchor>
    <xdr:from>
      <xdr:col>8</xdr:col>
      <xdr:colOff>1</xdr:colOff>
      <xdr:row>23</xdr:row>
      <xdr:rowOff>0</xdr:rowOff>
    </xdr:from>
    <xdr:ext cx="971550" cy="187231"/>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7E639FDA-59BE-4121-B4F9-4E9CA34E904C}"/>
                </a:ext>
              </a:extLst>
            </xdr:cNvPr>
            <xdr:cNvSpPr txBox="1"/>
          </xdr:nvSpPr>
          <xdr:spPr>
            <a:xfrm>
              <a:off x="4876801" y="3800475"/>
              <a:ext cx="971550"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100" b="1" i="1" kern="1200">
                      <a:latin typeface="Cambria Math" panose="02040503050406030204" pitchFamily="18" charset="0"/>
                    </a:rPr>
                    <m:t>𝒁</m:t>
                  </m:r>
                  <m:r>
                    <a:rPr lang="en-US" sz="1100" b="1" i="1" kern="1200">
                      <a:latin typeface="Cambria Math" panose="02040503050406030204" pitchFamily="18" charset="0"/>
                    </a:rPr>
                    <m:t> </m:t>
                  </m:r>
                  <m:r>
                    <a:rPr lang="en-US" sz="1100" b="1" i="1" kern="1200">
                      <a:latin typeface="Cambria Math" panose="02040503050406030204" pitchFamily="18" charset="0"/>
                    </a:rPr>
                    <m:t>𝒙</m:t>
                  </m:r>
                  <m:r>
                    <a:rPr lang="en-US" sz="1100" b="1" i="1" kern="1200">
                      <a:latin typeface="Cambria Math" panose="02040503050406030204" pitchFamily="18" charset="0"/>
                    </a:rPr>
                    <m:t> </m:t>
                  </m:r>
                  <m:acc>
                    <m:accPr>
                      <m:chr m:val="̂"/>
                      <m:ctrlPr>
                        <a:rPr lang="en-US" sz="1100" b="1" i="1" kern="1200">
                          <a:latin typeface="Cambria Math" panose="02040503050406030204" pitchFamily="18" charset="0"/>
                        </a:rPr>
                      </m:ctrlPr>
                    </m:accPr>
                    <m:e>
                      <m:r>
                        <a:rPr lang="en-US" sz="1100" b="1" i="1" kern="1200">
                          <a:latin typeface="Cambria Math" panose="02040503050406030204" pitchFamily="18" charset="0"/>
                        </a:rPr>
                        <m:t>𝒇</m:t>
                      </m:r>
                    </m:e>
                  </m:acc>
                  <m:r>
                    <a:rPr lang="en-US" sz="1100" b="1" i="1" kern="1200">
                      <a:latin typeface="Cambria Math" panose="02040503050406030204" pitchFamily="18" charset="0"/>
                    </a:rPr>
                    <m:t>+</m:t>
                  </m:r>
                </m:oMath>
              </a14:m>
              <a:r>
                <a:rPr lang="en-US" sz="1100" b="1" kern="1200"/>
                <a:t> (1-Z) x 1</a:t>
              </a:r>
            </a:p>
          </xdr:txBody>
        </xdr:sp>
      </mc:Choice>
      <mc:Fallback xmlns="">
        <xdr:sp macro="" textlink="">
          <xdr:nvSpPr>
            <xdr:cNvPr id="9" name="TextBox 8">
              <a:extLst>
                <a:ext uri="{FF2B5EF4-FFF2-40B4-BE49-F238E27FC236}">
                  <a16:creationId xmlns:a16="http://schemas.microsoft.com/office/drawing/2014/main" id="{7E639FDA-59BE-4121-B4F9-4E9CA34E904C}"/>
                </a:ext>
              </a:extLst>
            </xdr:cNvPr>
            <xdr:cNvSpPr txBox="1"/>
          </xdr:nvSpPr>
          <xdr:spPr>
            <a:xfrm>
              <a:off x="4876801" y="3800475"/>
              <a:ext cx="971550"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kern="1200">
                  <a:latin typeface="Cambria Math" panose="02040503050406030204" pitchFamily="18" charset="0"/>
                </a:rPr>
                <a:t>𝒁 𝒙 𝒇 ̂+</a:t>
              </a:r>
              <a:r>
                <a:rPr lang="en-US" sz="1100" b="1" kern="1200"/>
                <a:t> (1-Z) x 1</a:t>
              </a:r>
            </a:p>
          </xdr:txBody>
        </xdr:sp>
      </mc:Fallback>
    </mc:AlternateContent>
    <xdr:clientData/>
  </xdr:oneCellAnchor>
  <xdr:oneCellAnchor>
    <xdr:from>
      <xdr:col>34</xdr:col>
      <xdr:colOff>0</xdr:colOff>
      <xdr:row>25</xdr:row>
      <xdr:rowOff>0</xdr:rowOff>
    </xdr:from>
    <xdr:ext cx="971550" cy="187231"/>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225ECB5F-AE75-43C4-B105-F3428D4F10A3}"/>
                </a:ext>
              </a:extLst>
            </xdr:cNvPr>
            <xdr:cNvSpPr txBox="1"/>
          </xdr:nvSpPr>
          <xdr:spPr>
            <a:xfrm>
              <a:off x="20726400" y="4162425"/>
              <a:ext cx="971550"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100" b="1" i="1" kern="1200">
                      <a:latin typeface="Cambria Math" panose="02040503050406030204" pitchFamily="18" charset="0"/>
                    </a:rPr>
                    <m:t>𝒁</m:t>
                  </m:r>
                  <m:r>
                    <a:rPr lang="en-US" sz="1100" b="1" i="1" kern="1200">
                      <a:latin typeface="Cambria Math" panose="02040503050406030204" pitchFamily="18" charset="0"/>
                    </a:rPr>
                    <m:t> </m:t>
                  </m:r>
                  <m:r>
                    <a:rPr lang="en-US" sz="1100" b="1" i="1" kern="1200">
                      <a:latin typeface="Cambria Math" panose="02040503050406030204" pitchFamily="18" charset="0"/>
                    </a:rPr>
                    <m:t>𝒙</m:t>
                  </m:r>
                  <m:r>
                    <a:rPr lang="en-US" sz="1100" b="1" i="1" kern="1200">
                      <a:latin typeface="Cambria Math" panose="02040503050406030204" pitchFamily="18" charset="0"/>
                    </a:rPr>
                    <m:t> </m:t>
                  </m:r>
                  <m:acc>
                    <m:accPr>
                      <m:chr m:val="̂"/>
                      <m:ctrlPr>
                        <a:rPr lang="en-US" sz="1100" b="1" i="1" kern="1200">
                          <a:latin typeface="Cambria Math" panose="02040503050406030204" pitchFamily="18" charset="0"/>
                        </a:rPr>
                      </m:ctrlPr>
                    </m:accPr>
                    <m:e>
                      <m:r>
                        <a:rPr lang="en-US" sz="1100" b="1" i="1" kern="1200">
                          <a:latin typeface="Cambria Math" panose="02040503050406030204" pitchFamily="18" charset="0"/>
                        </a:rPr>
                        <m:t>𝒇</m:t>
                      </m:r>
                    </m:e>
                  </m:acc>
                  <m:r>
                    <a:rPr lang="en-US" sz="1100" b="1" i="1" kern="1200">
                      <a:latin typeface="Cambria Math" panose="02040503050406030204" pitchFamily="18" charset="0"/>
                    </a:rPr>
                    <m:t>+</m:t>
                  </m:r>
                </m:oMath>
              </a14:m>
              <a:r>
                <a:rPr lang="en-US" sz="1100" b="1" kern="1200"/>
                <a:t> (1-Z) x 1</a:t>
              </a:r>
            </a:p>
          </xdr:txBody>
        </xdr:sp>
      </mc:Choice>
      <mc:Fallback xmlns="">
        <xdr:sp macro="" textlink="">
          <xdr:nvSpPr>
            <xdr:cNvPr id="10" name="TextBox 9">
              <a:extLst>
                <a:ext uri="{FF2B5EF4-FFF2-40B4-BE49-F238E27FC236}">
                  <a16:creationId xmlns:a16="http://schemas.microsoft.com/office/drawing/2014/main" id="{225ECB5F-AE75-43C4-B105-F3428D4F10A3}"/>
                </a:ext>
              </a:extLst>
            </xdr:cNvPr>
            <xdr:cNvSpPr txBox="1"/>
          </xdr:nvSpPr>
          <xdr:spPr>
            <a:xfrm>
              <a:off x="20726400" y="4162425"/>
              <a:ext cx="971550" cy="187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kern="1200">
                  <a:latin typeface="Cambria Math" panose="02040503050406030204" pitchFamily="18" charset="0"/>
                </a:rPr>
                <a:t>𝒁 𝒙 𝒇 ̂+</a:t>
              </a:r>
              <a:r>
                <a:rPr lang="en-US" sz="1100" b="1" kern="1200"/>
                <a:t> (1-Z) x 1</a:t>
              </a:r>
            </a:p>
          </xdr:txBody>
        </xdr:sp>
      </mc:Fallback>
    </mc:AlternateContent>
    <xdr:clientData/>
  </xdr:oneCellAnchor>
  <xdr:twoCellAnchor>
    <xdr:from>
      <xdr:col>57</xdr:col>
      <xdr:colOff>0</xdr:colOff>
      <xdr:row>27</xdr:row>
      <xdr:rowOff>0</xdr:rowOff>
    </xdr:from>
    <xdr:to>
      <xdr:col>70</xdr:col>
      <xdr:colOff>123825</xdr:colOff>
      <xdr:row>44</xdr:row>
      <xdr:rowOff>38100</xdr:rowOff>
    </xdr:to>
    <xdr:graphicFrame macro="">
      <xdr:nvGraphicFramePr>
        <xdr:cNvPr id="11" name="Chart 10">
          <a:extLst>
            <a:ext uri="{FF2B5EF4-FFF2-40B4-BE49-F238E27FC236}">
              <a16:creationId xmlns:a16="http://schemas.microsoft.com/office/drawing/2014/main" id="{C638B4CF-4543-4AD8-9987-0739A4F50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CA676-0FC6-4117-BFA9-8D9BE9AD298C}">
  <sheetPr>
    <tabColor rgb="FF0070C0"/>
    <pageSetUpPr autoPageBreaks="0"/>
  </sheetPr>
  <dimension ref="A6:K22"/>
  <sheetViews>
    <sheetView showGridLines="0" tabSelected="1" zoomScale="115" zoomScaleNormal="115" workbookViewId="0"/>
  </sheetViews>
  <sheetFormatPr defaultRowHeight="14.4" x14ac:dyDescent="0.3"/>
  <sheetData>
    <row r="6" spans="1:10" ht="33.6" x14ac:dyDescent="0.65">
      <c r="A6" s="220" t="s">
        <v>210</v>
      </c>
      <c r="B6" s="220"/>
      <c r="C6" s="220"/>
      <c r="D6" s="220"/>
      <c r="E6" s="220"/>
      <c r="F6" s="220"/>
      <c r="G6" s="220"/>
      <c r="H6" s="220"/>
      <c r="I6" s="220"/>
      <c r="J6" s="220"/>
    </row>
    <row r="7" spans="1:10" ht="6" customHeight="1" x14ac:dyDescent="0.3">
      <c r="A7" s="221"/>
      <c r="B7" s="221"/>
      <c r="C7" s="221"/>
      <c r="D7" s="221"/>
      <c r="E7" s="221"/>
      <c r="F7" s="221"/>
      <c r="G7" s="221"/>
      <c r="H7" s="221"/>
      <c r="I7" s="221"/>
      <c r="J7" s="221"/>
    </row>
    <row r="8" spans="1:10" ht="21" x14ac:dyDescent="0.4">
      <c r="A8" s="222" t="s">
        <v>221</v>
      </c>
      <c r="B8" s="222"/>
      <c r="C8" s="222"/>
      <c r="D8" s="222"/>
      <c r="E8" s="222"/>
      <c r="F8" s="222"/>
      <c r="G8" s="222"/>
      <c r="H8" s="222"/>
      <c r="I8" s="222"/>
      <c r="J8" s="222"/>
    </row>
    <row r="10" spans="1:10" ht="75" customHeight="1" x14ac:dyDescent="0.3">
      <c r="A10" s="223" t="s">
        <v>211</v>
      </c>
      <c r="B10" s="224" t="s">
        <v>212</v>
      </c>
      <c r="C10" s="224"/>
      <c r="D10" s="224"/>
      <c r="E10" s="224"/>
      <c r="F10" s="224"/>
      <c r="G10" s="224"/>
      <c r="H10" s="224"/>
      <c r="I10" s="224"/>
      <c r="J10" s="224"/>
    </row>
    <row r="11" spans="1:10" x14ac:dyDescent="0.3">
      <c r="B11" s="225"/>
      <c r="C11" s="225"/>
      <c r="D11" s="225"/>
      <c r="E11" s="225"/>
      <c r="F11" s="225"/>
      <c r="G11" s="225"/>
      <c r="H11" s="225"/>
      <c r="I11" s="225"/>
      <c r="J11" s="225"/>
    </row>
    <row r="12" spans="1:10" ht="45" customHeight="1" x14ac:dyDescent="0.3">
      <c r="A12" s="223" t="s">
        <v>211</v>
      </c>
      <c r="B12" s="224" t="s">
        <v>213</v>
      </c>
      <c r="C12" s="224"/>
      <c r="D12" s="224"/>
      <c r="E12" s="224"/>
      <c r="F12" s="224"/>
      <c r="G12" s="224"/>
      <c r="H12" s="224"/>
      <c r="I12" s="224"/>
      <c r="J12" s="224"/>
    </row>
    <row r="13" spans="1:10" x14ac:dyDescent="0.3">
      <c r="B13" s="225"/>
      <c r="C13" s="225"/>
      <c r="D13" s="225"/>
      <c r="E13" s="225"/>
      <c r="F13" s="225"/>
      <c r="G13" s="225"/>
      <c r="H13" s="225"/>
      <c r="I13" s="225"/>
      <c r="J13" s="225"/>
    </row>
    <row r="14" spans="1:10" ht="30" customHeight="1" x14ac:dyDescent="0.3">
      <c r="A14" s="223" t="s">
        <v>211</v>
      </c>
      <c r="B14" s="224" t="s">
        <v>214</v>
      </c>
      <c r="C14" s="224"/>
      <c r="D14" s="224"/>
      <c r="E14" s="224"/>
      <c r="F14" s="224"/>
      <c r="G14" s="224"/>
      <c r="H14" s="224"/>
      <c r="I14" s="224"/>
      <c r="J14" s="224"/>
    </row>
    <row r="15" spans="1:10" x14ac:dyDescent="0.3">
      <c r="B15" s="225"/>
      <c r="C15" s="225"/>
      <c r="D15" s="225"/>
      <c r="E15" s="225"/>
      <c r="F15" s="225"/>
      <c r="G15" s="225"/>
      <c r="H15" s="225"/>
      <c r="I15" s="225"/>
      <c r="J15" s="225"/>
    </row>
    <row r="16" spans="1:10" ht="42.6" customHeight="1" x14ac:dyDescent="0.3">
      <c r="A16" s="223" t="s">
        <v>211</v>
      </c>
      <c r="B16" s="224" t="s">
        <v>215</v>
      </c>
      <c r="C16" s="224"/>
      <c r="D16" s="224"/>
      <c r="E16" s="224"/>
      <c r="F16" s="224"/>
      <c r="G16" s="224"/>
      <c r="H16" s="224"/>
      <c r="I16" s="224"/>
      <c r="J16" s="224"/>
    </row>
    <row r="17" spans="1:11" x14ac:dyDescent="0.3">
      <c r="B17" s="225"/>
      <c r="C17" s="225"/>
      <c r="D17" s="225"/>
      <c r="E17" s="225"/>
      <c r="F17" s="225"/>
      <c r="G17" s="225"/>
      <c r="H17" s="225"/>
      <c r="I17" s="225"/>
      <c r="J17" s="225"/>
      <c r="K17" s="226"/>
    </row>
    <row r="18" spans="1:11" ht="74.400000000000006" customHeight="1" x14ac:dyDescent="0.3">
      <c r="A18" s="223" t="s">
        <v>211</v>
      </c>
      <c r="B18" s="224" t="s">
        <v>216</v>
      </c>
      <c r="C18" s="224"/>
      <c r="D18" s="224"/>
      <c r="E18" s="224"/>
      <c r="F18" s="224"/>
      <c r="G18" s="224"/>
      <c r="H18" s="224"/>
      <c r="I18" s="224"/>
      <c r="J18" s="224"/>
    </row>
    <row r="19" spans="1:11" x14ac:dyDescent="0.3">
      <c r="B19" s="227" t="s">
        <v>217</v>
      </c>
      <c r="C19" s="228"/>
      <c r="D19" s="228"/>
      <c r="E19" s="228"/>
      <c r="F19" s="228"/>
      <c r="G19" s="228"/>
      <c r="H19" s="228"/>
      <c r="I19" s="228"/>
      <c r="J19" s="228"/>
    </row>
    <row r="22" spans="1:11" x14ac:dyDescent="0.3">
      <c r="B22" s="229" t="s">
        <v>218</v>
      </c>
      <c r="C22" s="229"/>
      <c r="D22" s="230" t="s">
        <v>219</v>
      </c>
      <c r="E22" s="230"/>
      <c r="F22" s="230"/>
      <c r="G22" s="230"/>
      <c r="H22" s="231" t="s">
        <v>220</v>
      </c>
      <c r="I22" s="231"/>
      <c r="J22" s="231"/>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77C33300-63E8-4738-AFCA-5C4EF28625E8}"/>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573E9-B040-4D13-8606-5C2BCADC2F1F}">
  <sheetPr>
    <tabColor theme="5" tint="0.39997558519241921"/>
  </sheetPr>
  <dimension ref="A1:N32"/>
  <sheetViews>
    <sheetView zoomScale="115" zoomScaleNormal="115" workbookViewId="0"/>
  </sheetViews>
  <sheetFormatPr defaultRowHeight="14.4" x14ac:dyDescent="0.3"/>
  <cols>
    <col min="11" max="11" width="58" bestFit="1" customWidth="1"/>
    <col min="12" max="12" width="18.5546875" bestFit="1" customWidth="1"/>
    <col min="13" max="13" width="19.6640625" bestFit="1" customWidth="1"/>
    <col min="14" max="14" width="15.88671875" bestFit="1" customWidth="1"/>
  </cols>
  <sheetData>
    <row r="1" spans="1:14" x14ac:dyDescent="0.3">
      <c r="A1" s="186" t="s">
        <v>222</v>
      </c>
    </row>
    <row r="3" spans="1:14" x14ac:dyDescent="0.3">
      <c r="A3" s="1" t="s">
        <v>1</v>
      </c>
    </row>
    <row r="4" spans="1:14" x14ac:dyDescent="0.3">
      <c r="A4" t="s">
        <v>162</v>
      </c>
    </row>
    <row r="6" spans="1:14" x14ac:dyDescent="0.3">
      <c r="B6" s="188" t="s">
        <v>147</v>
      </c>
      <c r="C6" s="188"/>
      <c r="D6" s="188"/>
      <c r="E6" s="188"/>
      <c r="F6" s="188"/>
      <c r="G6" s="188"/>
      <c r="H6" s="188"/>
      <c r="I6" s="188"/>
      <c r="K6" s="119" t="s">
        <v>148</v>
      </c>
      <c r="L6" s="28" t="s">
        <v>149</v>
      </c>
      <c r="M6" s="120" t="s">
        <v>150</v>
      </c>
      <c r="N6" s="121" t="s">
        <v>151</v>
      </c>
    </row>
    <row r="7" spans="1:14" x14ac:dyDescent="0.3">
      <c r="B7" s="188"/>
      <c r="C7" s="188"/>
      <c r="D7" s="188"/>
      <c r="E7" s="188"/>
      <c r="F7" s="188"/>
      <c r="G7" s="188"/>
      <c r="H7" s="188"/>
      <c r="I7" s="188"/>
      <c r="K7" t="s">
        <v>127</v>
      </c>
      <c r="L7" s="103">
        <v>-110000000</v>
      </c>
      <c r="M7" s="122">
        <v>40000000</v>
      </c>
      <c r="N7" s="18">
        <f>L7+M7</f>
        <v>-70000000</v>
      </c>
    </row>
    <row r="8" spans="1:14" x14ac:dyDescent="0.3">
      <c r="B8" s="188"/>
      <c r="C8" s="188"/>
      <c r="D8" s="188"/>
      <c r="E8" s="188"/>
      <c r="F8" s="188"/>
      <c r="G8" s="188"/>
      <c r="H8" s="188"/>
      <c r="I8" s="188"/>
      <c r="K8" t="s">
        <v>128</v>
      </c>
      <c r="L8" s="103">
        <v>-110000000</v>
      </c>
      <c r="M8" s="122">
        <v>40000000</v>
      </c>
      <c r="N8" s="18">
        <f>L8+M8</f>
        <v>-70000000</v>
      </c>
    </row>
    <row r="9" spans="1:14" ht="16.2" x14ac:dyDescent="0.45">
      <c r="B9" s="188"/>
      <c r="C9" s="188"/>
      <c r="D9" s="188"/>
      <c r="E9" s="188"/>
      <c r="F9" s="188"/>
      <c r="G9" s="188"/>
      <c r="H9" s="188"/>
      <c r="I9" s="188"/>
      <c r="K9" t="s">
        <v>129</v>
      </c>
      <c r="L9" s="104">
        <v>95000000</v>
      </c>
      <c r="M9" s="123">
        <v>-40000000</v>
      </c>
      <c r="N9" s="106">
        <f>L9+M9</f>
        <v>55000000</v>
      </c>
    </row>
    <row r="10" spans="1:14" x14ac:dyDescent="0.3">
      <c r="B10" s="188"/>
      <c r="C10" s="188"/>
      <c r="D10" s="188"/>
      <c r="E10" s="188"/>
      <c r="F10" s="188"/>
      <c r="G10" s="188"/>
      <c r="H10" s="188"/>
      <c r="I10" s="188"/>
      <c r="K10" t="s">
        <v>130</v>
      </c>
      <c r="L10" s="124">
        <f>L8+L9</f>
        <v>-15000000</v>
      </c>
      <c r="M10" s="124">
        <f>M8+M9</f>
        <v>0</v>
      </c>
      <c r="N10" s="15">
        <f>N8+N9</f>
        <v>-15000000</v>
      </c>
    </row>
    <row r="11" spans="1:14" x14ac:dyDescent="0.3">
      <c r="B11" s="188"/>
      <c r="C11" s="188"/>
      <c r="D11" s="188"/>
      <c r="E11" s="188"/>
      <c r="F11" s="188"/>
      <c r="G11" s="188"/>
      <c r="H11" s="188"/>
      <c r="I11" s="188"/>
      <c r="L11" s="13"/>
      <c r="M11" s="89"/>
      <c r="N11" s="14"/>
    </row>
    <row r="12" spans="1:14" x14ac:dyDescent="0.3">
      <c r="B12" s="188"/>
      <c r="C12" s="188"/>
      <c r="D12" s="188"/>
      <c r="E12" s="188"/>
      <c r="F12" s="188"/>
      <c r="G12" s="188"/>
      <c r="H12" s="188"/>
      <c r="I12" s="188"/>
      <c r="K12" t="s">
        <v>131</v>
      </c>
      <c r="L12" s="13"/>
      <c r="M12" s="89"/>
      <c r="N12" s="14"/>
    </row>
    <row r="13" spans="1:14" x14ac:dyDescent="0.3">
      <c r="B13" s="188"/>
      <c r="C13" s="188"/>
      <c r="D13" s="188"/>
      <c r="E13" s="188"/>
      <c r="F13" s="188"/>
      <c r="G13" s="188"/>
      <c r="H13" s="188"/>
      <c r="I13" s="188"/>
      <c r="K13" t="s">
        <v>134</v>
      </c>
      <c r="L13" s="103">
        <v>25000000</v>
      </c>
      <c r="M13" s="125" t="s">
        <v>133</v>
      </c>
      <c r="N13" s="35" t="s">
        <v>133</v>
      </c>
    </row>
    <row r="14" spans="1:14" ht="16.2" x14ac:dyDescent="0.45">
      <c r="B14" s="188"/>
      <c r="C14" s="188"/>
      <c r="D14" s="188"/>
      <c r="E14" s="188"/>
      <c r="F14" s="188"/>
      <c r="G14" s="188"/>
      <c r="H14" s="188"/>
      <c r="I14" s="188"/>
      <c r="K14" t="s">
        <v>135</v>
      </c>
      <c r="L14" s="104">
        <v>75000000</v>
      </c>
      <c r="M14" s="126" t="s">
        <v>133</v>
      </c>
      <c r="N14" s="35" t="s">
        <v>133</v>
      </c>
    </row>
    <row r="15" spans="1:14" x14ac:dyDescent="0.3">
      <c r="B15" s="188"/>
      <c r="C15" s="188"/>
      <c r="D15" s="188"/>
      <c r="E15" s="188"/>
      <c r="F15" s="188"/>
      <c r="G15" s="188"/>
      <c r="H15" s="188"/>
      <c r="I15" s="188"/>
      <c r="K15" t="s">
        <v>136</v>
      </c>
      <c r="L15" s="38">
        <f>SUM(L13:L14)</f>
        <v>100000000</v>
      </c>
      <c r="M15" s="127" t="s">
        <v>133</v>
      </c>
      <c r="N15" s="35" t="s">
        <v>133</v>
      </c>
    </row>
    <row r="16" spans="1:14" x14ac:dyDescent="0.3">
      <c r="B16" s="188"/>
      <c r="C16" s="188"/>
      <c r="D16" s="188"/>
      <c r="E16" s="188"/>
      <c r="F16" s="188"/>
      <c r="G16" s="188"/>
      <c r="H16" s="188"/>
      <c r="I16" s="188"/>
      <c r="L16" s="13"/>
      <c r="M16" s="128"/>
      <c r="N16" s="35"/>
    </row>
    <row r="17" spans="2:14" x14ac:dyDescent="0.3">
      <c r="B17" s="188"/>
      <c r="C17" s="188"/>
      <c r="D17" s="188"/>
      <c r="E17" s="188"/>
      <c r="F17" s="188"/>
      <c r="G17" s="188"/>
      <c r="H17" s="188"/>
      <c r="I17" s="188"/>
      <c r="K17" t="s">
        <v>137</v>
      </c>
      <c r="L17" s="38">
        <f>L10+L15</f>
        <v>85000000</v>
      </c>
      <c r="M17" s="127" t="s">
        <v>133</v>
      </c>
      <c r="N17" s="35" t="s">
        <v>133</v>
      </c>
    </row>
    <row r="18" spans="2:14" x14ac:dyDescent="0.3">
      <c r="B18" s="188"/>
      <c r="C18" s="188"/>
      <c r="D18" s="188"/>
      <c r="E18" s="188"/>
      <c r="F18" s="188"/>
      <c r="G18" s="188"/>
      <c r="H18" s="188"/>
      <c r="I18" s="188"/>
      <c r="L18" s="13"/>
      <c r="M18" s="89"/>
      <c r="N18" s="14"/>
    </row>
    <row r="19" spans="2:14" x14ac:dyDescent="0.3">
      <c r="B19" s="188"/>
      <c r="C19" s="188"/>
      <c r="D19" s="188"/>
      <c r="E19" s="188"/>
      <c r="F19" s="188"/>
      <c r="G19" s="188"/>
      <c r="H19" s="188"/>
      <c r="I19" s="188"/>
      <c r="K19" s="4" t="s">
        <v>152</v>
      </c>
      <c r="L19" s="13"/>
      <c r="M19" s="89"/>
      <c r="N19" s="14"/>
    </row>
    <row r="20" spans="2:14" x14ac:dyDescent="0.3">
      <c r="B20" s="188"/>
      <c r="C20" s="188"/>
      <c r="D20" s="188"/>
      <c r="E20" s="188"/>
      <c r="F20" s="188"/>
      <c r="G20" s="188"/>
      <c r="H20" s="188"/>
      <c r="I20" s="188"/>
      <c r="K20" t="s">
        <v>153</v>
      </c>
      <c r="L20" s="129">
        <v>15</v>
      </c>
      <c r="M20" s="130">
        <v>20</v>
      </c>
      <c r="N20" s="43">
        <v>11</v>
      </c>
    </row>
    <row r="21" spans="2:14" x14ac:dyDescent="0.3">
      <c r="B21" s="188"/>
      <c r="C21" s="188"/>
      <c r="D21" s="188"/>
      <c r="E21" s="188"/>
      <c r="F21" s="188"/>
      <c r="G21" s="188"/>
      <c r="H21" s="188"/>
      <c r="I21" s="188"/>
      <c r="L21" s="103"/>
      <c r="M21" s="122"/>
      <c r="N21" s="18"/>
    </row>
    <row r="22" spans="2:14" x14ac:dyDescent="0.3">
      <c r="B22" s="188"/>
      <c r="C22" s="188"/>
      <c r="D22" s="188"/>
      <c r="E22" s="188"/>
      <c r="F22" s="188"/>
      <c r="G22" s="188"/>
      <c r="H22" s="188"/>
      <c r="I22" s="188"/>
      <c r="K22" s="4" t="s">
        <v>154</v>
      </c>
      <c r="L22" s="13"/>
      <c r="M22" s="89"/>
      <c r="N22" s="14"/>
    </row>
    <row r="23" spans="2:14" x14ac:dyDescent="0.3">
      <c r="B23" s="188"/>
      <c r="C23" s="188"/>
      <c r="D23" s="188"/>
      <c r="E23" s="188"/>
      <c r="F23" s="188"/>
      <c r="G23" s="188"/>
      <c r="H23" s="188"/>
      <c r="I23" s="188"/>
      <c r="K23" t="s">
        <v>155</v>
      </c>
      <c r="L23" s="103">
        <v>100000000</v>
      </c>
      <c r="M23" s="125" t="s">
        <v>133</v>
      </c>
      <c r="N23" s="79" t="s">
        <v>133</v>
      </c>
    </row>
    <row r="24" spans="2:14" x14ac:dyDescent="0.3">
      <c r="B24" s="188"/>
      <c r="C24" s="188"/>
      <c r="D24" s="188"/>
      <c r="E24" s="188"/>
      <c r="F24" s="188"/>
      <c r="G24" s="188"/>
      <c r="H24" s="188"/>
      <c r="I24" s="188"/>
      <c r="L24" s="22"/>
      <c r="M24" s="88"/>
      <c r="N24" s="29"/>
    </row>
    <row r="25" spans="2:14" x14ac:dyDescent="0.3">
      <c r="B25" s="188"/>
      <c r="C25" s="188"/>
      <c r="D25" s="188"/>
      <c r="E25" s="188"/>
      <c r="F25" s="188"/>
      <c r="G25" s="188"/>
      <c r="H25" s="188"/>
      <c r="I25" s="188"/>
      <c r="K25" s="6"/>
      <c r="L25" s="11"/>
      <c r="N25" s="11"/>
    </row>
    <row r="26" spans="2:14" x14ac:dyDescent="0.3">
      <c r="B26" s="188"/>
      <c r="C26" s="188"/>
      <c r="D26" s="188"/>
      <c r="E26" s="188"/>
      <c r="F26" s="188"/>
      <c r="G26" s="188"/>
      <c r="H26" s="188"/>
      <c r="I26" s="188"/>
    </row>
    <row r="27" spans="2:14" x14ac:dyDescent="0.3">
      <c r="B27" s="188"/>
      <c r="C27" s="188"/>
      <c r="D27" s="188"/>
      <c r="E27" s="188"/>
      <c r="F27" s="188"/>
      <c r="G27" s="188"/>
      <c r="H27" s="188"/>
      <c r="I27" s="188"/>
    </row>
    <row r="28" spans="2:14" x14ac:dyDescent="0.3">
      <c r="B28" s="188"/>
      <c r="C28" s="188"/>
      <c r="D28" s="188"/>
      <c r="E28" s="188"/>
      <c r="F28" s="188"/>
      <c r="G28" s="188"/>
      <c r="H28" s="188"/>
      <c r="I28" s="188"/>
    </row>
    <row r="29" spans="2:14" x14ac:dyDescent="0.3">
      <c r="B29" s="188"/>
      <c r="C29" s="188"/>
      <c r="D29" s="188"/>
      <c r="E29" s="188"/>
      <c r="F29" s="188"/>
      <c r="G29" s="188"/>
      <c r="H29" s="188"/>
      <c r="I29" s="188"/>
    </row>
    <row r="30" spans="2:14" x14ac:dyDescent="0.3">
      <c r="B30" s="188"/>
      <c r="C30" s="188"/>
      <c r="D30" s="188"/>
      <c r="E30" s="188"/>
      <c r="F30" s="188"/>
      <c r="G30" s="188"/>
      <c r="H30" s="188"/>
      <c r="I30" s="188"/>
    </row>
    <row r="31" spans="2:14" x14ac:dyDescent="0.3">
      <c r="B31" s="188"/>
      <c r="C31" s="188"/>
      <c r="D31" s="188"/>
      <c r="E31" s="188"/>
      <c r="F31" s="188"/>
      <c r="G31" s="188"/>
      <c r="H31" s="188"/>
      <c r="I31" s="188"/>
    </row>
    <row r="32" spans="2:14" x14ac:dyDescent="0.3">
      <c r="B32" s="188"/>
      <c r="C32" s="188"/>
      <c r="D32" s="188"/>
      <c r="E32" s="188"/>
      <c r="F32" s="188"/>
      <c r="G32" s="188"/>
      <c r="H32" s="188"/>
      <c r="I32" s="188"/>
    </row>
  </sheetData>
  <mergeCells count="1">
    <mergeCell ref="B6:I3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BC72-C533-4AC9-B009-F51D1A90FC92}">
  <sheetPr>
    <tabColor theme="9" tint="0.59999389629810485"/>
  </sheetPr>
  <dimension ref="A1:T40"/>
  <sheetViews>
    <sheetView zoomScale="115" zoomScaleNormal="115" workbookViewId="0"/>
  </sheetViews>
  <sheetFormatPr defaultRowHeight="14.4" x14ac:dyDescent="0.3"/>
  <cols>
    <col min="1" max="1" width="3.88671875" customWidth="1"/>
    <col min="9" max="9" width="11" customWidth="1"/>
    <col min="11" max="11" width="58" bestFit="1" customWidth="1"/>
    <col min="12" max="12" width="22.109375" customWidth="1"/>
    <col min="13" max="13" width="19.6640625" bestFit="1" customWidth="1"/>
    <col min="14" max="14" width="15.88671875" bestFit="1" customWidth="1"/>
    <col min="15" max="15" width="21" bestFit="1" customWidth="1"/>
    <col min="16" max="16" width="21" customWidth="1"/>
    <col min="17" max="17" width="5.109375" customWidth="1"/>
    <col min="18" max="19" width="21" customWidth="1"/>
    <col min="20" max="20" width="16.44140625" bestFit="1" customWidth="1"/>
  </cols>
  <sheetData>
    <row r="1" spans="1:20" x14ac:dyDescent="0.3">
      <c r="A1" s="186" t="s">
        <v>222</v>
      </c>
    </row>
    <row r="3" spans="1:20" x14ac:dyDescent="0.3">
      <c r="A3" s="1" t="s">
        <v>1</v>
      </c>
    </row>
    <row r="4" spans="1:20" x14ac:dyDescent="0.3">
      <c r="A4" t="s">
        <v>162</v>
      </c>
    </row>
    <row r="6" spans="1:20" x14ac:dyDescent="0.3">
      <c r="L6" s="4" t="s">
        <v>10</v>
      </c>
    </row>
    <row r="7" spans="1:20" x14ac:dyDescent="0.3">
      <c r="L7" s="205" t="s">
        <v>156</v>
      </c>
      <c r="M7" s="206"/>
      <c r="N7" s="206"/>
      <c r="O7" s="206"/>
      <c r="P7" s="207"/>
      <c r="R7" s="205" t="s">
        <v>157</v>
      </c>
      <c r="S7" s="206"/>
      <c r="T7" s="207"/>
    </row>
    <row r="8" spans="1:20" x14ac:dyDescent="0.3">
      <c r="B8" s="188" t="s">
        <v>158</v>
      </c>
      <c r="C8" s="188"/>
      <c r="D8" s="188"/>
      <c r="E8" s="188"/>
      <c r="F8" s="188"/>
      <c r="G8" s="188"/>
      <c r="H8" s="188"/>
      <c r="I8" s="188"/>
      <c r="K8" s="119" t="s">
        <v>148</v>
      </c>
      <c r="L8" s="36" t="s">
        <v>149</v>
      </c>
      <c r="M8" s="131" t="s">
        <v>150</v>
      </c>
      <c r="N8" s="44" t="s">
        <v>151</v>
      </c>
      <c r="O8" s="131" t="s">
        <v>159</v>
      </c>
      <c r="P8" s="131" t="s">
        <v>160</v>
      </c>
      <c r="Q8" s="4"/>
      <c r="R8" s="28" t="s">
        <v>149</v>
      </c>
      <c r="S8" s="120" t="s">
        <v>150</v>
      </c>
      <c r="T8" s="121" t="s">
        <v>151</v>
      </c>
    </row>
    <row r="9" spans="1:20" x14ac:dyDescent="0.3">
      <c r="B9" s="188"/>
      <c r="C9" s="188"/>
      <c r="D9" s="188"/>
      <c r="E9" s="188"/>
      <c r="F9" s="188"/>
      <c r="G9" s="188"/>
      <c r="H9" s="188"/>
      <c r="I9" s="188"/>
      <c r="K9" t="s">
        <v>128</v>
      </c>
      <c r="L9" s="103">
        <v>-110000000</v>
      </c>
      <c r="M9" s="122">
        <v>40000000</v>
      </c>
      <c r="N9" s="18">
        <f>L9+M9</f>
        <v>-70000000</v>
      </c>
      <c r="O9" s="122">
        <f>-M9</f>
        <v>-40000000</v>
      </c>
      <c r="P9" s="122">
        <f>N9+O9</f>
        <v>-110000000</v>
      </c>
      <c r="Q9" s="17"/>
      <c r="R9" s="103">
        <v>-110000000</v>
      </c>
      <c r="S9" s="122">
        <v>40000000</v>
      </c>
      <c r="T9" s="18">
        <f>R9+S9</f>
        <v>-70000000</v>
      </c>
    </row>
    <row r="10" spans="1:20" ht="16.2" x14ac:dyDescent="0.45">
      <c r="B10" s="188"/>
      <c r="C10" s="188"/>
      <c r="D10" s="188"/>
      <c r="E10" s="188"/>
      <c r="F10" s="188"/>
      <c r="G10" s="188"/>
      <c r="H10" s="188"/>
      <c r="I10" s="188"/>
      <c r="K10" t="s">
        <v>129</v>
      </c>
      <c r="L10" s="104">
        <v>95000000</v>
      </c>
      <c r="M10" s="123">
        <v>-40000000</v>
      </c>
      <c r="N10" s="106">
        <f>L10+M10</f>
        <v>55000000</v>
      </c>
      <c r="O10" s="123">
        <f>-M10</f>
        <v>40000000</v>
      </c>
      <c r="P10" s="122">
        <f>N10+O10</f>
        <v>95000000</v>
      </c>
      <c r="Q10" s="105"/>
      <c r="R10" s="104">
        <v>95000000</v>
      </c>
      <c r="S10" s="123">
        <v>-40000000</v>
      </c>
      <c r="T10" s="106">
        <f>R10+S10</f>
        <v>55000000</v>
      </c>
    </row>
    <row r="11" spans="1:20" x14ac:dyDescent="0.3">
      <c r="B11" s="188"/>
      <c r="C11" s="188"/>
      <c r="D11" s="188"/>
      <c r="E11" s="188"/>
      <c r="F11" s="188"/>
      <c r="G11" s="188"/>
      <c r="H11" s="188"/>
      <c r="I11" s="188"/>
      <c r="K11" t="s">
        <v>130</v>
      </c>
      <c r="L11" s="124">
        <f>L9+L10</f>
        <v>-15000000</v>
      </c>
      <c r="M11" s="15">
        <f>M9+M10</f>
        <v>0</v>
      </c>
      <c r="N11" s="15">
        <f>N9+N10</f>
        <v>-15000000</v>
      </c>
      <c r="O11" s="124">
        <f>O9+O10</f>
        <v>0</v>
      </c>
      <c r="P11" s="122">
        <f>N11+O11</f>
        <v>-15000000</v>
      </c>
      <c r="Q11" s="7"/>
      <c r="R11" s="124">
        <f>R9+R10</f>
        <v>-15000000</v>
      </c>
      <c r="S11" s="15">
        <f>S9+S10</f>
        <v>0</v>
      </c>
      <c r="T11" s="15">
        <f>T9+T10</f>
        <v>-15000000</v>
      </c>
    </row>
    <row r="12" spans="1:20" x14ac:dyDescent="0.3">
      <c r="B12" s="188"/>
      <c r="C12" s="188"/>
      <c r="D12" s="188"/>
      <c r="E12" s="188"/>
      <c r="F12" s="188"/>
      <c r="G12" s="188"/>
      <c r="H12" s="188"/>
      <c r="I12" s="188"/>
      <c r="L12" s="13"/>
      <c r="M12" s="89"/>
      <c r="N12" s="14"/>
      <c r="O12" s="89"/>
      <c r="P12" s="122"/>
      <c r="R12" s="13"/>
      <c r="S12" s="89"/>
      <c r="T12" s="14"/>
    </row>
    <row r="13" spans="1:20" x14ac:dyDescent="0.3">
      <c r="B13" s="188"/>
      <c r="C13" s="188"/>
      <c r="D13" s="188"/>
      <c r="E13" s="188"/>
      <c r="F13" s="188"/>
      <c r="G13" s="188"/>
      <c r="H13" s="188"/>
      <c r="I13" s="188"/>
      <c r="K13" t="s">
        <v>131</v>
      </c>
      <c r="L13" s="13"/>
      <c r="M13" s="89"/>
      <c r="N13" s="14"/>
      <c r="O13" s="89"/>
      <c r="P13" s="122"/>
      <c r="R13" s="13"/>
      <c r="S13" s="89"/>
      <c r="T13" s="14"/>
    </row>
    <row r="14" spans="1:20" x14ac:dyDescent="0.3">
      <c r="B14" s="188"/>
      <c r="C14" s="188"/>
      <c r="D14" s="188"/>
      <c r="E14" s="188"/>
      <c r="F14" s="188"/>
      <c r="G14" s="188"/>
      <c r="H14" s="188"/>
      <c r="I14" s="188"/>
      <c r="K14" t="s">
        <v>134</v>
      </c>
      <c r="L14" s="103">
        <v>25000000</v>
      </c>
      <c r="M14" s="125">
        <f>M9/L9*L14</f>
        <v>-9090909.0909090918</v>
      </c>
      <c r="N14" s="116">
        <f>L14+M14</f>
        <v>15909090.909090908</v>
      </c>
      <c r="O14" s="127">
        <f>-M14</f>
        <v>9090909.0909090918</v>
      </c>
      <c r="P14" s="122">
        <f>N14+O14</f>
        <v>25000000</v>
      </c>
      <c r="Q14" s="115"/>
      <c r="R14" s="103">
        <v>25000000</v>
      </c>
      <c r="S14" s="125">
        <f>-(R21-T21)/R21*R14</f>
        <v>-6666666.666666667</v>
      </c>
      <c r="T14" s="116">
        <f>R14+S14</f>
        <v>18333333.333333332</v>
      </c>
    </row>
    <row r="15" spans="1:20" ht="16.2" x14ac:dyDescent="0.45">
      <c r="B15" s="188"/>
      <c r="C15" s="188"/>
      <c r="D15" s="188"/>
      <c r="E15" s="188"/>
      <c r="F15" s="188"/>
      <c r="G15" s="188"/>
      <c r="H15" s="188"/>
      <c r="I15" s="188"/>
      <c r="K15" t="s">
        <v>135</v>
      </c>
      <c r="L15" s="104">
        <v>75000000</v>
      </c>
      <c r="M15" s="126">
        <f>M9/L9*L15</f>
        <v>-27272727.272727273</v>
      </c>
      <c r="N15" s="132">
        <f>L15+M15</f>
        <v>47727272.727272727</v>
      </c>
      <c r="O15" s="133">
        <f>-M15</f>
        <v>27272727.272727273</v>
      </c>
      <c r="P15" s="122">
        <f>N15+O15</f>
        <v>75000000</v>
      </c>
      <c r="Q15" s="134"/>
      <c r="R15" s="104">
        <v>75000000</v>
      </c>
      <c r="S15" s="126">
        <f>S9/R9*R15</f>
        <v>-27272727.272727273</v>
      </c>
      <c r="T15" s="132">
        <f>R15+S15</f>
        <v>47727272.727272727</v>
      </c>
    </row>
    <row r="16" spans="1:20" x14ac:dyDescent="0.3">
      <c r="B16" s="188"/>
      <c r="C16" s="188"/>
      <c r="D16" s="188"/>
      <c r="E16" s="188"/>
      <c r="F16" s="188"/>
      <c r="G16" s="188"/>
      <c r="H16" s="188"/>
      <c r="I16" s="188"/>
      <c r="K16" t="s">
        <v>136</v>
      </c>
      <c r="L16" s="38">
        <f>SUM(L14:L15)</f>
        <v>100000000</v>
      </c>
      <c r="M16" s="38">
        <f>SUM(M14:M15)</f>
        <v>-36363636.363636367</v>
      </c>
      <c r="N16" s="124">
        <f>SUM(N14:N15)</f>
        <v>63636363.636363633</v>
      </c>
      <c r="O16" s="127">
        <f>O14+O15</f>
        <v>36363636.363636367</v>
      </c>
      <c r="P16" s="122">
        <f>N16+O16</f>
        <v>100000000</v>
      </c>
      <c r="Q16" s="115"/>
      <c r="R16" s="38">
        <f>SUM(R14:R15)</f>
        <v>100000000</v>
      </c>
      <c r="S16" s="38">
        <f>SUM(S14:S15)</f>
        <v>-33939393.939393938</v>
      </c>
      <c r="T16" s="124">
        <f>SUM(T14:T15)</f>
        <v>66060606.060606062</v>
      </c>
    </row>
    <row r="17" spans="2:20" x14ac:dyDescent="0.3">
      <c r="B17" s="188"/>
      <c r="C17" s="188"/>
      <c r="D17" s="188"/>
      <c r="E17" s="188"/>
      <c r="F17" s="188"/>
      <c r="G17" s="188"/>
      <c r="H17" s="188"/>
      <c r="I17" s="188"/>
      <c r="L17" s="13"/>
      <c r="M17" s="128"/>
      <c r="N17" s="35"/>
      <c r="O17" s="128"/>
      <c r="P17" s="122"/>
      <c r="Q17" s="2"/>
      <c r="R17" s="13"/>
      <c r="S17" s="128"/>
      <c r="T17" s="35"/>
    </row>
    <row r="18" spans="2:20" x14ac:dyDescent="0.3">
      <c r="B18" s="188"/>
      <c r="C18" s="188"/>
      <c r="D18" s="188"/>
      <c r="E18" s="188"/>
      <c r="F18" s="188"/>
      <c r="G18" s="188"/>
      <c r="H18" s="188"/>
      <c r="I18" s="188"/>
      <c r="K18" t="s">
        <v>137</v>
      </c>
      <c r="L18" s="38">
        <f>L11+L16</f>
        <v>85000000</v>
      </c>
      <c r="M18" s="127"/>
      <c r="N18" s="127">
        <f>N11+N16</f>
        <v>48636363.636363633</v>
      </c>
      <c r="O18" s="127">
        <f>O11+O16</f>
        <v>36363636.363636367</v>
      </c>
      <c r="P18" s="122">
        <f>N18+O18</f>
        <v>85000000</v>
      </c>
      <c r="Q18" s="115"/>
      <c r="R18" s="38">
        <f>R11+R16</f>
        <v>85000000</v>
      </c>
      <c r="S18" s="127"/>
      <c r="T18" s="127">
        <f>T11+T16</f>
        <v>51060606.060606062</v>
      </c>
    </row>
    <row r="19" spans="2:20" x14ac:dyDescent="0.3">
      <c r="B19" s="188"/>
      <c r="C19" s="188"/>
      <c r="D19" s="188"/>
      <c r="E19" s="188"/>
      <c r="F19" s="188"/>
      <c r="G19" s="188"/>
      <c r="H19" s="188"/>
      <c r="I19" s="188"/>
      <c r="L19" s="13"/>
      <c r="M19" s="89"/>
      <c r="N19" s="14"/>
      <c r="O19" s="89"/>
      <c r="P19" s="122"/>
      <c r="R19" s="13"/>
      <c r="S19" s="89"/>
      <c r="T19" s="14"/>
    </row>
    <row r="20" spans="2:20" x14ac:dyDescent="0.3">
      <c r="B20" s="188"/>
      <c r="C20" s="188"/>
      <c r="D20" s="188"/>
      <c r="E20" s="188"/>
      <c r="F20" s="188"/>
      <c r="G20" s="188"/>
      <c r="H20" s="188"/>
      <c r="I20" s="188"/>
      <c r="K20" s="4" t="s">
        <v>152</v>
      </c>
      <c r="L20" s="13"/>
      <c r="M20" s="89"/>
      <c r="N20" s="14"/>
      <c r="O20" s="89"/>
      <c r="P20" s="122"/>
      <c r="R20" s="13"/>
      <c r="S20" s="89"/>
      <c r="T20" s="14"/>
    </row>
    <row r="21" spans="2:20" x14ac:dyDescent="0.3">
      <c r="B21" s="188"/>
      <c r="C21" s="188"/>
      <c r="D21" s="188"/>
      <c r="E21" s="188"/>
      <c r="F21" s="188"/>
      <c r="G21" s="188"/>
      <c r="H21" s="188"/>
      <c r="I21" s="188"/>
      <c r="K21" t="s">
        <v>153</v>
      </c>
      <c r="L21" s="129">
        <v>15</v>
      </c>
      <c r="M21" s="130">
        <v>20</v>
      </c>
      <c r="N21" s="43">
        <v>11</v>
      </c>
      <c r="O21" s="130">
        <v>20</v>
      </c>
      <c r="P21" s="122"/>
      <c r="Q21" s="42"/>
      <c r="R21" s="129">
        <v>15</v>
      </c>
      <c r="S21" s="130">
        <v>20</v>
      </c>
      <c r="T21" s="43">
        <v>11</v>
      </c>
    </row>
    <row r="22" spans="2:20" x14ac:dyDescent="0.3">
      <c r="B22" s="188"/>
      <c r="C22" s="188"/>
      <c r="D22" s="188"/>
      <c r="E22" s="188"/>
      <c r="F22" s="188"/>
      <c r="G22" s="188"/>
      <c r="H22" s="188"/>
      <c r="I22" s="188"/>
      <c r="L22" s="103"/>
      <c r="M22" s="122"/>
      <c r="N22" s="18"/>
      <c r="O22" s="122"/>
      <c r="P22" s="122"/>
      <c r="Q22" s="17"/>
      <c r="R22" s="103"/>
      <c r="S22" s="122"/>
      <c r="T22" s="18"/>
    </row>
    <row r="23" spans="2:20" x14ac:dyDescent="0.3">
      <c r="B23" s="188"/>
      <c r="C23" s="188"/>
      <c r="D23" s="188"/>
      <c r="E23" s="188"/>
      <c r="F23" s="188"/>
      <c r="G23" s="188"/>
      <c r="H23" s="188"/>
      <c r="I23" s="188"/>
      <c r="K23" s="4" t="s">
        <v>154</v>
      </c>
      <c r="L23" s="13"/>
      <c r="M23" s="89"/>
      <c r="N23" s="14"/>
      <c r="O23" s="89"/>
      <c r="P23" s="122"/>
      <c r="R23" s="13"/>
      <c r="S23" s="89"/>
      <c r="T23" s="14"/>
    </row>
    <row r="24" spans="2:20" x14ac:dyDescent="0.3">
      <c r="B24" s="188"/>
      <c r="C24" s="188"/>
      <c r="D24" s="188"/>
      <c r="E24" s="188"/>
      <c r="F24" s="188"/>
      <c r="G24" s="188"/>
      <c r="H24" s="188"/>
      <c r="I24" s="188"/>
      <c r="K24" t="s">
        <v>155</v>
      </c>
      <c r="L24" s="103">
        <v>100000000</v>
      </c>
      <c r="M24" s="125">
        <f>(L24-L10)*ABS(M10)/L10</f>
        <v>2105263.1578947366</v>
      </c>
      <c r="N24" s="79">
        <f>N10+(L24-L10-M24)</f>
        <v>57894736.842105262</v>
      </c>
      <c r="O24" s="125">
        <f>O10+M24</f>
        <v>42105263.157894738</v>
      </c>
      <c r="P24" s="122">
        <f>N24+O24</f>
        <v>100000000</v>
      </c>
      <c r="Q24" s="110"/>
      <c r="R24" s="103">
        <v>100000000</v>
      </c>
      <c r="S24" s="125">
        <f>(R24-R10)*ABS(S10)/R10</f>
        <v>2105263.1578947366</v>
      </c>
      <c r="T24" s="79">
        <f>T10+(R24-R10-S24)</f>
        <v>57894736.842105262</v>
      </c>
    </row>
    <row r="25" spans="2:20" x14ac:dyDescent="0.3">
      <c r="B25" s="188"/>
      <c r="C25" s="188"/>
      <c r="D25" s="188"/>
      <c r="E25" s="188"/>
      <c r="F25" s="188"/>
      <c r="G25" s="188"/>
      <c r="H25" s="188"/>
      <c r="I25" s="188"/>
      <c r="L25" s="22"/>
      <c r="M25" s="88"/>
      <c r="N25" s="88"/>
      <c r="O25" s="88"/>
      <c r="P25" s="88"/>
      <c r="R25" s="22"/>
      <c r="S25" s="88"/>
      <c r="T25" s="29"/>
    </row>
    <row r="26" spans="2:20" x14ac:dyDescent="0.3">
      <c r="B26" s="188"/>
      <c r="C26" s="188"/>
      <c r="D26" s="188"/>
      <c r="E26" s="188"/>
      <c r="F26" s="188"/>
      <c r="G26" s="188"/>
      <c r="H26" s="188"/>
      <c r="I26" s="188"/>
    </row>
    <row r="27" spans="2:20" x14ac:dyDescent="0.3">
      <c r="B27" s="188"/>
      <c r="C27" s="188"/>
      <c r="D27" s="188"/>
      <c r="E27" s="188"/>
      <c r="F27" s="188"/>
      <c r="G27" s="188"/>
      <c r="H27" s="188"/>
      <c r="I27" s="188"/>
    </row>
    <row r="28" spans="2:20" x14ac:dyDescent="0.3">
      <c r="B28" s="188"/>
      <c r="C28" s="188"/>
      <c r="D28" s="188"/>
      <c r="E28" s="188"/>
      <c r="F28" s="188"/>
      <c r="G28" s="188"/>
      <c r="H28" s="188"/>
      <c r="I28" s="188"/>
      <c r="L28" s="4" t="s">
        <v>11</v>
      </c>
    </row>
    <row r="29" spans="2:20" x14ac:dyDescent="0.3">
      <c r="B29" s="188"/>
      <c r="C29" s="188"/>
      <c r="D29" s="188"/>
      <c r="E29" s="188"/>
      <c r="F29" s="188"/>
      <c r="G29" s="188"/>
      <c r="H29" s="188"/>
      <c r="I29" s="188"/>
      <c r="K29" s="6"/>
      <c r="L29" s="135" t="s">
        <v>161</v>
      </c>
      <c r="M29" s="136"/>
      <c r="N29" s="137" t="s">
        <v>0</v>
      </c>
      <c r="O29" s="137" t="s">
        <v>0</v>
      </c>
      <c r="P29" s="138" t="s">
        <v>0</v>
      </c>
      <c r="R29" s="135"/>
      <c r="S29" s="136"/>
      <c r="T29" s="139">
        <f>-S16</f>
        <v>33939393.939393938</v>
      </c>
    </row>
    <row r="30" spans="2:20" x14ac:dyDescent="0.3">
      <c r="B30" s="188"/>
      <c r="C30" s="188"/>
      <c r="D30" s="188"/>
      <c r="E30" s="188"/>
      <c r="F30" s="188"/>
      <c r="G30" s="188"/>
      <c r="H30" s="188"/>
      <c r="I30" s="188"/>
    </row>
    <row r="31" spans="2:20" x14ac:dyDescent="0.3">
      <c r="B31" s="188"/>
      <c r="C31" s="188"/>
      <c r="D31" s="188"/>
      <c r="E31" s="188"/>
      <c r="F31" s="188"/>
      <c r="G31" s="188"/>
      <c r="H31" s="188"/>
      <c r="I31" s="188"/>
    </row>
    <row r="32" spans="2:20" x14ac:dyDescent="0.3">
      <c r="B32" s="188"/>
      <c r="C32" s="188"/>
      <c r="D32" s="188"/>
      <c r="E32" s="188"/>
      <c r="F32" s="188"/>
      <c r="G32" s="188"/>
      <c r="H32" s="188"/>
      <c r="I32" s="188"/>
    </row>
    <row r="33" spans="2:9" x14ac:dyDescent="0.3">
      <c r="B33" s="188"/>
      <c r="C33" s="188"/>
      <c r="D33" s="188"/>
      <c r="E33" s="188"/>
      <c r="F33" s="188"/>
      <c r="G33" s="188"/>
      <c r="H33" s="188"/>
      <c r="I33" s="188"/>
    </row>
    <row r="34" spans="2:9" x14ac:dyDescent="0.3">
      <c r="B34" s="188"/>
      <c r="C34" s="188"/>
      <c r="D34" s="188"/>
      <c r="E34" s="188"/>
      <c r="F34" s="188"/>
      <c r="G34" s="188"/>
      <c r="H34" s="188"/>
      <c r="I34" s="188"/>
    </row>
    <row r="35" spans="2:9" x14ac:dyDescent="0.3">
      <c r="B35" s="188"/>
      <c r="C35" s="188"/>
      <c r="D35" s="188"/>
      <c r="E35" s="188"/>
      <c r="F35" s="188"/>
      <c r="G35" s="188"/>
      <c r="H35" s="188"/>
      <c r="I35" s="188"/>
    </row>
    <row r="36" spans="2:9" x14ac:dyDescent="0.3">
      <c r="B36" s="188"/>
      <c r="C36" s="188"/>
      <c r="D36" s="188"/>
      <c r="E36" s="188"/>
      <c r="F36" s="188"/>
      <c r="G36" s="188"/>
      <c r="H36" s="188"/>
      <c r="I36" s="188"/>
    </row>
    <row r="37" spans="2:9" x14ac:dyDescent="0.3">
      <c r="B37" s="208"/>
      <c r="C37" s="208"/>
      <c r="D37" s="208"/>
      <c r="E37" s="208"/>
      <c r="F37" s="208"/>
      <c r="G37" s="208"/>
      <c r="H37" s="208"/>
      <c r="I37" s="208"/>
    </row>
    <row r="38" spans="2:9" x14ac:dyDescent="0.3">
      <c r="B38" s="208"/>
      <c r="C38" s="208"/>
      <c r="D38" s="208"/>
      <c r="E38" s="208"/>
      <c r="F38" s="208"/>
      <c r="G38" s="208"/>
      <c r="H38" s="208"/>
      <c r="I38" s="208"/>
    </row>
    <row r="39" spans="2:9" x14ac:dyDescent="0.3">
      <c r="B39" s="208"/>
      <c r="C39" s="208"/>
      <c r="D39" s="208"/>
      <c r="E39" s="208"/>
      <c r="F39" s="208"/>
      <c r="G39" s="208"/>
      <c r="H39" s="208"/>
      <c r="I39" s="208"/>
    </row>
    <row r="40" spans="2:9" x14ac:dyDescent="0.3">
      <c r="B40" s="208"/>
      <c r="C40" s="208"/>
      <c r="D40" s="208"/>
      <c r="E40" s="208"/>
      <c r="F40" s="208"/>
      <c r="G40" s="208"/>
      <c r="H40" s="208"/>
      <c r="I40" s="208"/>
    </row>
  </sheetData>
  <mergeCells count="3">
    <mergeCell ref="L7:P7"/>
    <mergeCell ref="R7:T7"/>
    <mergeCell ref="B8:I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71AF-D6DD-48D6-8735-2910101F3B2F}">
  <sheetPr>
    <tabColor theme="5" tint="0.39997558519241921"/>
  </sheetPr>
  <dimension ref="A1:Y69"/>
  <sheetViews>
    <sheetView zoomScale="115" zoomScaleNormal="115" workbookViewId="0"/>
  </sheetViews>
  <sheetFormatPr defaultRowHeight="14.4" x14ac:dyDescent="0.3"/>
  <cols>
    <col min="1" max="1" width="4.5546875" customWidth="1"/>
    <col min="2" max="2" width="13.5546875" customWidth="1"/>
    <col min="3" max="3" width="28.33203125" bestFit="1" customWidth="1"/>
    <col min="4" max="4" width="12.5546875" bestFit="1" customWidth="1"/>
    <col min="5" max="5" width="15.44140625" customWidth="1"/>
    <col min="6" max="6" width="12.33203125" bestFit="1" customWidth="1"/>
    <col min="7" max="7" width="14.88671875" customWidth="1"/>
    <col min="8" max="8" width="15.44140625" customWidth="1"/>
    <col min="9" max="9" width="14.109375" customWidth="1"/>
    <col min="11" max="11" width="29" customWidth="1"/>
    <col min="12" max="12" width="14.6640625" customWidth="1"/>
    <col min="13" max="13" width="3.88671875" customWidth="1"/>
    <col min="15" max="15" width="4.5546875" customWidth="1"/>
    <col min="16" max="16" width="10.33203125" bestFit="1" customWidth="1"/>
    <col min="18" max="18" width="25.5546875" bestFit="1" customWidth="1"/>
    <col min="19" max="19" width="29.88671875" bestFit="1" customWidth="1"/>
    <col min="20" max="20" width="9.109375" customWidth="1"/>
    <col min="21" max="21" width="7.109375" bestFit="1" customWidth="1"/>
    <col min="22" max="22" width="11.6640625" customWidth="1"/>
    <col min="23" max="23" width="8.44140625" bestFit="1" customWidth="1"/>
    <col min="24" max="24" width="8.88671875" bestFit="1" customWidth="1"/>
    <col min="25" max="25" width="7.88671875" bestFit="1" customWidth="1"/>
    <col min="28" max="28" width="19.109375" customWidth="1"/>
    <col min="29" max="29" width="28.33203125" bestFit="1" customWidth="1"/>
  </cols>
  <sheetData>
    <row r="1" spans="1:25" x14ac:dyDescent="0.3">
      <c r="A1" s="186" t="s">
        <v>222</v>
      </c>
    </row>
    <row r="3" spans="1:25" x14ac:dyDescent="0.3">
      <c r="A3" s="1" t="s">
        <v>1</v>
      </c>
    </row>
    <row r="4" spans="1:25" x14ac:dyDescent="0.3">
      <c r="A4" t="s">
        <v>205</v>
      </c>
    </row>
    <row r="6" spans="1:25" x14ac:dyDescent="0.3">
      <c r="B6" s="188" t="s">
        <v>208</v>
      </c>
      <c r="C6" s="188"/>
      <c r="D6" s="188"/>
      <c r="E6" s="188"/>
      <c r="F6" s="188"/>
      <c r="G6" s="188"/>
      <c r="H6" s="188"/>
      <c r="I6" s="188"/>
      <c r="J6" s="188"/>
      <c r="K6" s="188"/>
      <c r="L6" s="188"/>
      <c r="M6" s="188"/>
      <c r="N6" s="188"/>
      <c r="O6" s="10"/>
      <c r="P6" s="10"/>
      <c r="Q6" s="10"/>
      <c r="R6" s="30"/>
      <c r="S6" s="11"/>
      <c r="T6" s="11"/>
      <c r="U6" s="11"/>
      <c r="V6" s="200" t="s">
        <v>203</v>
      </c>
      <c r="W6" s="211"/>
      <c r="X6" s="212"/>
      <c r="Y6" s="12"/>
    </row>
    <row r="7" spans="1:25" ht="43.2" x14ac:dyDescent="0.3">
      <c r="B7" s="188"/>
      <c r="C7" s="188"/>
      <c r="D7" s="188"/>
      <c r="E7" s="188"/>
      <c r="F7" s="188"/>
      <c r="G7" s="188"/>
      <c r="H7" s="188"/>
      <c r="I7" s="188"/>
      <c r="J7" s="188"/>
      <c r="K7" s="188"/>
      <c r="L7" s="188"/>
      <c r="M7" s="188"/>
      <c r="N7" s="188"/>
      <c r="O7" s="10"/>
      <c r="P7" s="10"/>
      <c r="Q7" s="10"/>
      <c r="R7" s="21" t="s">
        <v>202</v>
      </c>
      <c r="V7" s="71" t="s">
        <v>168</v>
      </c>
      <c r="W7" s="9" t="s">
        <v>201</v>
      </c>
      <c r="X7" s="37" t="s">
        <v>200</v>
      </c>
      <c r="Y7" s="14"/>
    </row>
    <row r="8" spans="1:25" x14ac:dyDescent="0.3">
      <c r="B8" s="188"/>
      <c r="C8" s="188"/>
      <c r="D8" s="188"/>
      <c r="E8" s="188"/>
      <c r="F8" s="188"/>
      <c r="G8" s="188"/>
      <c r="H8" s="188"/>
      <c r="I8" s="188"/>
      <c r="J8" s="188"/>
      <c r="K8" s="188"/>
      <c r="L8" s="188"/>
      <c r="M8" s="188"/>
      <c r="N8" s="188"/>
      <c r="O8" s="10"/>
      <c r="P8" s="10"/>
      <c r="Q8" s="10"/>
      <c r="R8" s="30" t="s">
        <v>199</v>
      </c>
      <c r="S8" s="174">
        <v>500000000</v>
      </c>
      <c r="T8" s="17"/>
      <c r="V8" s="170">
        <v>0.6</v>
      </c>
      <c r="W8" s="19">
        <f>1-X8</f>
        <v>0.75</v>
      </c>
      <c r="X8" s="20">
        <v>0.25</v>
      </c>
      <c r="Y8" s="14"/>
    </row>
    <row r="9" spans="1:25" x14ac:dyDescent="0.3">
      <c r="B9" s="188"/>
      <c r="C9" s="188"/>
      <c r="D9" s="188"/>
      <c r="E9" s="188"/>
      <c r="F9" s="188"/>
      <c r="G9" s="188"/>
      <c r="H9" s="188"/>
      <c r="I9" s="188"/>
      <c r="J9" s="188"/>
      <c r="K9" s="188"/>
      <c r="L9" s="188"/>
      <c r="M9" s="188"/>
      <c r="N9" s="188"/>
      <c r="O9" s="10"/>
      <c r="P9" s="10"/>
      <c r="Q9" s="10"/>
      <c r="R9" s="13" t="s">
        <v>198</v>
      </c>
      <c r="S9" s="15">
        <v>425000000</v>
      </c>
      <c r="T9" s="7"/>
      <c r="V9" s="170">
        <v>0.65</v>
      </c>
      <c r="W9" s="19">
        <f>1-X9</f>
        <v>0.75</v>
      </c>
      <c r="X9" s="20">
        <v>0.25</v>
      </c>
      <c r="Y9" s="14"/>
    </row>
    <row r="10" spans="1:25" x14ac:dyDescent="0.3">
      <c r="B10" s="188"/>
      <c r="C10" s="188"/>
      <c r="D10" s="188"/>
      <c r="E10" s="188"/>
      <c r="F10" s="188"/>
      <c r="G10" s="188"/>
      <c r="H10" s="188"/>
      <c r="I10" s="188"/>
      <c r="J10" s="188"/>
      <c r="K10" s="188"/>
      <c r="L10" s="188"/>
      <c r="M10" s="188"/>
      <c r="N10" s="188"/>
      <c r="O10" s="10"/>
      <c r="P10" s="10"/>
      <c r="Q10" s="10"/>
      <c r="R10" s="13" t="s">
        <v>197</v>
      </c>
      <c r="S10" s="163">
        <f>(1.1*S8-S9)/5</f>
        <v>25000000</v>
      </c>
      <c r="T10" s="17"/>
      <c r="U10" s="17"/>
      <c r="V10" s="170">
        <v>0.75</v>
      </c>
      <c r="W10" s="19">
        <f>1-X10</f>
        <v>0.7</v>
      </c>
      <c r="X10" s="20">
        <v>0.3</v>
      </c>
      <c r="Y10" s="14"/>
    </row>
    <row r="11" spans="1:25" x14ac:dyDescent="0.3">
      <c r="B11" s="188"/>
      <c r="C11" s="188"/>
      <c r="D11" s="188"/>
      <c r="E11" s="188"/>
      <c r="F11" s="188"/>
      <c r="G11" s="188"/>
      <c r="H11" s="188"/>
      <c r="I11" s="188"/>
      <c r="J11" s="188"/>
      <c r="K11" s="188"/>
      <c r="L11" s="188"/>
      <c r="M11" s="188"/>
      <c r="N11" s="188"/>
      <c r="O11" s="10"/>
      <c r="P11" s="10"/>
      <c r="Q11" s="10"/>
      <c r="R11" s="103" t="s">
        <v>196</v>
      </c>
      <c r="S11" s="18"/>
      <c r="T11" s="17"/>
      <c r="V11" s="170">
        <v>0.8</v>
      </c>
      <c r="W11" s="19">
        <f>1-X11</f>
        <v>0.65</v>
      </c>
      <c r="X11" s="20">
        <v>0.35</v>
      </c>
      <c r="Y11" s="14"/>
    </row>
    <row r="12" spans="1:25" x14ac:dyDescent="0.3">
      <c r="B12" s="188"/>
      <c r="C12" s="188"/>
      <c r="D12" s="188"/>
      <c r="E12" s="188"/>
      <c r="F12" s="188"/>
      <c r="G12" s="188"/>
      <c r="H12" s="188"/>
      <c r="I12" s="188"/>
      <c r="J12" s="188"/>
      <c r="K12" s="188"/>
      <c r="L12" s="188"/>
      <c r="M12" s="188"/>
      <c r="N12" s="188"/>
      <c r="O12" s="10"/>
      <c r="P12" s="10"/>
      <c r="Q12" s="10"/>
      <c r="R12" s="13" t="s">
        <v>195</v>
      </c>
      <c r="S12" s="18">
        <v>5000000</v>
      </c>
      <c r="T12" s="17"/>
      <c r="V12" s="173">
        <v>0.85</v>
      </c>
      <c r="W12" s="172">
        <v>0.6</v>
      </c>
      <c r="X12" s="171">
        <v>0.4</v>
      </c>
      <c r="Y12" s="14"/>
    </row>
    <row r="13" spans="1:25" x14ac:dyDescent="0.3">
      <c r="B13" s="188"/>
      <c r="C13" s="188"/>
      <c r="D13" s="188"/>
      <c r="E13" s="188"/>
      <c r="F13" s="188"/>
      <c r="G13" s="188"/>
      <c r="H13" s="188"/>
      <c r="I13" s="188"/>
      <c r="J13" s="188"/>
      <c r="K13" s="188"/>
      <c r="L13" s="188"/>
      <c r="M13" s="188"/>
      <c r="N13" s="188"/>
      <c r="O13" s="10"/>
      <c r="P13" s="10"/>
      <c r="Q13" s="10"/>
      <c r="R13" s="13" t="s">
        <v>194</v>
      </c>
      <c r="S13" s="18">
        <f>S12+500000</f>
        <v>5500000</v>
      </c>
      <c r="T13" s="17"/>
      <c r="V13" s="170">
        <v>0.9</v>
      </c>
      <c r="W13" s="19">
        <f>1-X13</f>
        <v>0.5</v>
      </c>
      <c r="X13" s="20">
        <v>0.5</v>
      </c>
      <c r="Y13" s="14"/>
    </row>
    <row r="14" spans="1:25" x14ac:dyDescent="0.3">
      <c r="B14" s="188"/>
      <c r="C14" s="188"/>
      <c r="D14" s="188"/>
      <c r="E14" s="188"/>
      <c r="F14" s="188"/>
      <c r="G14" s="188"/>
      <c r="H14" s="188"/>
      <c r="I14" s="188"/>
      <c r="J14" s="188"/>
      <c r="K14" s="188"/>
      <c r="L14" s="188"/>
      <c r="M14" s="188"/>
      <c r="N14" s="188"/>
      <c r="O14" s="10"/>
      <c r="P14" s="10"/>
      <c r="Q14" s="10"/>
      <c r="R14" s="13" t="s">
        <v>193</v>
      </c>
      <c r="S14" s="18">
        <v>6500000</v>
      </c>
      <c r="T14" s="17"/>
      <c r="V14" s="170">
        <v>0.95</v>
      </c>
      <c r="W14" s="19">
        <f>1-X14</f>
        <v>0.4</v>
      </c>
      <c r="X14" s="20">
        <v>0.6</v>
      </c>
      <c r="Y14" s="14"/>
    </row>
    <row r="15" spans="1:25" x14ac:dyDescent="0.3">
      <c r="B15" s="188"/>
      <c r="C15" s="188"/>
      <c r="D15" s="188"/>
      <c r="E15" s="188"/>
      <c r="F15" s="188"/>
      <c r="G15" s="188"/>
      <c r="H15" s="188"/>
      <c r="I15" s="188"/>
      <c r="J15" s="188"/>
      <c r="K15" s="188"/>
      <c r="L15" s="188"/>
      <c r="M15" s="188"/>
      <c r="N15" s="188"/>
      <c r="O15" s="10"/>
      <c r="P15" s="10"/>
      <c r="Q15" s="10"/>
      <c r="R15" s="13" t="s">
        <v>192</v>
      </c>
      <c r="S15" s="18">
        <f>S14+500000</f>
        <v>7000000</v>
      </c>
      <c r="T15" s="17"/>
      <c r="V15" s="170">
        <v>1</v>
      </c>
      <c r="W15" s="19">
        <f>1-X15</f>
        <v>0.25</v>
      </c>
      <c r="X15" s="20">
        <v>0.75</v>
      </c>
      <c r="Y15" s="14"/>
    </row>
    <row r="16" spans="1:25" x14ac:dyDescent="0.3">
      <c r="B16" s="188"/>
      <c r="C16" s="188"/>
      <c r="D16" s="188"/>
      <c r="E16" s="188"/>
      <c r="F16" s="188"/>
      <c r="G16" s="188"/>
      <c r="H16" s="188"/>
      <c r="I16" s="188"/>
      <c r="J16" s="188"/>
      <c r="K16" s="188"/>
      <c r="L16" s="188"/>
      <c r="M16" s="188"/>
      <c r="N16" s="188"/>
      <c r="O16" s="10"/>
      <c r="P16" s="10"/>
      <c r="Q16" s="10"/>
      <c r="R16" s="22" t="s">
        <v>191</v>
      </c>
      <c r="S16" s="41">
        <v>8000000</v>
      </c>
      <c r="V16" s="170">
        <v>1.05</v>
      </c>
      <c r="W16" s="19">
        <f>1-X16</f>
        <v>9.9999999999999978E-2</v>
      </c>
      <c r="X16" s="20">
        <v>0.9</v>
      </c>
      <c r="Y16" s="14"/>
    </row>
    <row r="17" spans="2:25" x14ac:dyDescent="0.3">
      <c r="B17" s="188"/>
      <c r="C17" s="188"/>
      <c r="D17" s="188"/>
      <c r="E17" s="188"/>
      <c r="F17" s="188"/>
      <c r="G17" s="188"/>
      <c r="H17" s="188"/>
      <c r="I17" s="188"/>
      <c r="J17" s="188"/>
      <c r="K17" s="188"/>
      <c r="L17" s="188"/>
      <c r="M17" s="188"/>
      <c r="N17" s="188"/>
      <c r="O17" s="10"/>
      <c r="P17" s="10"/>
      <c r="Q17" s="10"/>
      <c r="R17" s="13"/>
      <c r="V17" s="169">
        <v>1.1000000000000001</v>
      </c>
      <c r="W17" s="26">
        <f>1-X17</f>
        <v>0</v>
      </c>
      <c r="X17" s="27">
        <v>1</v>
      </c>
      <c r="Y17" s="14"/>
    </row>
    <row r="18" spans="2:25" x14ac:dyDescent="0.3">
      <c r="B18" s="188"/>
      <c r="C18" s="188"/>
      <c r="D18" s="188"/>
      <c r="E18" s="188"/>
      <c r="F18" s="188"/>
      <c r="G18" s="188"/>
      <c r="H18" s="188"/>
      <c r="I18" s="188"/>
      <c r="J18" s="188"/>
      <c r="K18" s="188"/>
      <c r="L18" s="188"/>
      <c r="M18" s="188"/>
      <c r="N18" s="188"/>
      <c r="O18" s="10"/>
      <c r="P18" s="10"/>
      <c r="Q18" s="10"/>
      <c r="R18" s="13"/>
      <c r="Y18" s="14"/>
    </row>
    <row r="19" spans="2:25" x14ac:dyDescent="0.3">
      <c r="B19" s="188"/>
      <c r="C19" s="188"/>
      <c r="D19" s="188"/>
      <c r="E19" s="188"/>
      <c r="F19" s="188"/>
      <c r="G19" s="188"/>
      <c r="H19" s="188"/>
      <c r="I19" s="188"/>
      <c r="J19" s="188"/>
      <c r="K19" s="188"/>
      <c r="L19" s="188"/>
      <c r="M19" s="188"/>
      <c r="N19" s="188"/>
      <c r="O19" s="10"/>
      <c r="P19" s="10"/>
      <c r="Q19" s="10"/>
      <c r="R19" s="13"/>
      <c r="Y19" s="14"/>
    </row>
    <row r="20" spans="2:25" x14ac:dyDescent="0.3">
      <c r="B20" s="188"/>
      <c r="C20" s="188"/>
      <c r="D20" s="188"/>
      <c r="E20" s="188"/>
      <c r="F20" s="188"/>
      <c r="G20" s="188"/>
      <c r="H20" s="188"/>
      <c r="I20" s="188"/>
      <c r="J20" s="188"/>
      <c r="K20" s="188"/>
      <c r="L20" s="188"/>
      <c r="M20" s="188"/>
      <c r="N20" s="188"/>
      <c r="O20" s="10"/>
      <c r="P20" s="10"/>
      <c r="Q20" s="10"/>
      <c r="R20" s="13"/>
      <c r="T20" s="4" t="s">
        <v>189</v>
      </c>
      <c r="U20" s="167" t="s">
        <v>95</v>
      </c>
      <c r="V20" s="167" t="s">
        <v>102</v>
      </c>
      <c r="W20" s="167" t="s">
        <v>93</v>
      </c>
      <c r="X20" s="167" t="s">
        <v>92</v>
      </c>
      <c r="Y20" s="168" t="s">
        <v>91</v>
      </c>
    </row>
    <row r="21" spans="2:25" x14ac:dyDescent="0.3">
      <c r="B21" s="188"/>
      <c r="C21" s="188"/>
      <c r="D21" s="188"/>
      <c r="E21" s="188"/>
      <c r="F21" s="188"/>
      <c r="G21" s="188"/>
      <c r="H21" s="188"/>
      <c r="I21" s="188"/>
      <c r="J21" s="188"/>
      <c r="K21" s="188"/>
      <c r="L21" s="188"/>
      <c r="M21" s="188"/>
      <c r="N21" s="188"/>
      <c r="O21" s="10"/>
      <c r="P21" s="10"/>
      <c r="Q21" s="10"/>
      <c r="R21" s="209" t="s">
        <v>12</v>
      </c>
      <c r="S21" s="4" t="s">
        <v>18</v>
      </c>
      <c r="T21" s="153" t="s">
        <v>0</v>
      </c>
      <c r="U21" s="152">
        <v>-4.2299999999999997E-2</v>
      </c>
      <c r="V21" s="152">
        <v>0.31209999999999999</v>
      </c>
      <c r="W21" s="152">
        <v>0.1802</v>
      </c>
      <c r="X21" s="152">
        <v>0.28470000000000001</v>
      </c>
      <c r="Y21" s="151">
        <v>-0.1804</v>
      </c>
    </row>
    <row r="22" spans="2:25" x14ac:dyDescent="0.3">
      <c r="B22" s="188"/>
      <c r="C22" s="188"/>
      <c r="D22" s="188"/>
      <c r="E22" s="188"/>
      <c r="F22" s="188"/>
      <c r="G22" s="188"/>
      <c r="H22" s="188"/>
      <c r="I22" s="188"/>
      <c r="J22" s="188"/>
      <c r="K22" s="188"/>
      <c r="L22" s="188"/>
      <c r="M22" s="188"/>
      <c r="N22" s="188"/>
      <c r="O22" s="10"/>
      <c r="P22" s="10"/>
      <c r="Q22" s="10"/>
      <c r="R22" s="209"/>
      <c r="S22" s="4" t="s">
        <v>164</v>
      </c>
      <c r="T22" s="149" t="s">
        <v>0</v>
      </c>
      <c r="U22" s="148">
        <v>-3.27E-2</v>
      </c>
      <c r="V22" s="148">
        <v>0.1525</v>
      </c>
      <c r="W22" s="148">
        <v>0.106</v>
      </c>
      <c r="X22" s="148">
        <v>9.2999999999999992E-3</v>
      </c>
      <c r="Y22" s="147">
        <v>-0.15140000000000001</v>
      </c>
    </row>
    <row r="23" spans="2:25" x14ac:dyDescent="0.3">
      <c r="B23" s="188"/>
      <c r="C23" s="188"/>
      <c r="D23" s="188"/>
      <c r="E23" s="188"/>
      <c r="F23" s="188"/>
      <c r="G23" s="188"/>
      <c r="H23" s="188"/>
      <c r="I23" s="188"/>
      <c r="J23" s="188"/>
      <c r="K23" s="188"/>
      <c r="L23" s="188"/>
      <c r="M23" s="188"/>
      <c r="N23" s="188"/>
      <c r="O23" s="10"/>
      <c r="P23" s="10"/>
      <c r="Q23" s="10"/>
      <c r="R23" s="210"/>
      <c r="S23" s="4" t="s">
        <v>163</v>
      </c>
      <c r="T23" s="146" t="s">
        <v>0</v>
      </c>
      <c r="U23" s="145">
        <v>-3.7015890670377055E-2</v>
      </c>
      <c r="V23" s="145">
        <v>0.16558865018840388</v>
      </c>
      <c r="W23" s="145">
        <v>0.12252104411114238</v>
      </c>
      <c r="X23" s="145">
        <v>-2.2019354079236927E-2</v>
      </c>
      <c r="Y23" s="144">
        <v>-0.20489856125571915</v>
      </c>
    </row>
    <row r="24" spans="2:25" x14ac:dyDescent="0.3">
      <c r="B24" s="188"/>
      <c r="C24" s="188"/>
      <c r="D24" s="188"/>
      <c r="E24" s="188"/>
      <c r="F24" s="188"/>
      <c r="G24" s="188"/>
      <c r="H24" s="188"/>
      <c r="I24" s="188"/>
      <c r="J24" s="188"/>
      <c r="K24" s="188"/>
      <c r="L24" s="188"/>
      <c r="M24" s="188"/>
      <c r="N24" s="188"/>
      <c r="O24" s="10"/>
      <c r="P24" s="10"/>
      <c r="Q24" s="10"/>
      <c r="R24" s="13"/>
      <c r="S24" s="4" t="s">
        <v>17</v>
      </c>
      <c r="T24" s="156">
        <v>3.4000000000000002E-2</v>
      </c>
      <c r="U24" s="155">
        <v>4.0500000000000001E-2</v>
      </c>
      <c r="V24" s="155">
        <v>3.0099999999999998E-2</v>
      </c>
      <c r="W24" s="155">
        <v>2.23E-2</v>
      </c>
      <c r="X24" s="155">
        <v>2.63E-2</v>
      </c>
      <c r="Y24" s="154">
        <v>4.9500000000000002E-2</v>
      </c>
    </row>
    <row r="25" spans="2:25" x14ac:dyDescent="0.3">
      <c r="B25" s="188"/>
      <c r="C25" s="188"/>
      <c r="D25" s="188"/>
      <c r="E25" s="188"/>
      <c r="F25" s="188"/>
      <c r="G25" s="188"/>
      <c r="H25" s="188"/>
      <c r="I25" s="188"/>
      <c r="J25" s="188"/>
      <c r="K25" s="188"/>
      <c r="L25" s="188"/>
      <c r="M25" s="188"/>
      <c r="N25" s="188"/>
      <c r="O25" s="10"/>
      <c r="P25" s="10"/>
      <c r="Q25" s="10"/>
      <c r="R25" s="13"/>
      <c r="T25" s="31"/>
      <c r="Y25" s="14"/>
    </row>
    <row r="26" spans="2:25" x14ac:dyDescent="0.3">
      <c r="B26" s="188"/>
      <c r="C26" s="188"/>
      <c r="D26" s="188"/>
      <c r="E26" s="188"/>
      <c r="F26" s="188"/>
      <c r="G26" s="188"/>
      <c r="H26" s="188"/>
      <c r="I26" s="188"/>
      <c r="J26" s="188"/>
      <c r="K26" s="188"/>
      <c r="L26" s="188"/>
      <c r="M26" s="188"/>
      <c r="N26" s="188"/>
      <c r="O26" s="10"/>
      <c r="P26" s="10"/>
      <c r="Q26" s="10"/>
      <c r="R26" s="209" t="s">
        <v>13</v>
      </c>
      <c r="S26" s="4" t="s">
        <v>18</v>
      </c>
      <c r="T26" s="153" t="s">
        <v>0</v>
      </c>
      <c r="U26" s="152">
        <v>0.21609999999999999</v>
      </c>
      <c r="V26" s="152">
        <v>-4.2299999999999997E-2</v>
      </c>
      <c r="W26" s="152">
        <v>0.31209999999999999</v>
      </c>
      <c r="X26" s="152">
        <v>0.1802</v>
      </c>
      <c r="Y26" s="151">
        <v>0.28470000000000001</v>
      </c>
    </row>
    <row r="27" spans="2:25" x14ac:dyDescent="0.3">
      <c r="B27" s="188"/>
      <c r="C27" s="188"/>
      <c r="D27" s="188"/>
      <c r="E27" s="188"/>
      <c r="F27" s="188"/>
      <c r="G27" s="188"/>
      <c r="H27" s="188"/>
      <c r="I27" s="188"/>
      <c r="J27" s="188"/>
      <c r="K27" s="188"/>
      <c r="L27" s="188"/>
      <c r="M27" s="188"/>
      <c r="N27" s="188"/>
      <c r="O27" s="10"/>
      <c r="P27" s="10"/>
      <c r="Q27" s="10"/>
      <c r="R27" s="209"/>
      <c r="S27" s="4" t="s">
        <v>164</v>
      </c>
      <c r="T27" s="149" t="s">
        <v>0</v>
      </c>
      <c r="U27" s="148">
        <v>9.2299999999999993E-2</v>
      </c>
      <c r="V27" s="148">
        <v>-3.27E-2</v>
      </c>
      <c r="W27" s="148">
        <v>0.1525</v>
      </c>
      <c r="X27" s="148">
        <v>0.106</v>
      </c>
      <c r="Y27" s="147">
        <v>9.2999999999999992E-3</v>
      </c>
    </row>
    <row r="28" spans="2:25" x14ac:dyDescent="0.3">
      <c r="B28" s="188"/>
      <c r="C28" s="188"/>
      <c r="D28" s="188"/>
      <c r="E28" s="188"/>
      <c r="F28" s="188"/>
      <c r="G28" s="188"/>
      <c r="H28" s="188"/>
      <c r="I28" s="188"/>
      <c r="J28" s="188"/>
      <c r="K28" s="188"/>
      <c r="L28" s="188"/>
      <c r="M28" s="188"/>
      <c r="N28" s="188"/>
      <c r="O28" s="10"/>
      <c r="P28" s="10"/>
      <c r="Q28" s="10"/>
      <c r="R28" s="210"/>
      <c r="S28" s="4" t="s">
        <v>163</v>
      </c>
      <c r="T28" s="146" t="s">
        <v>0</v>
      </c>
      <c r="U28" s="145">
        <v>8.9528786541844152E-2</v>
      </c>
      <c r="V28" s="145">
        <v>-3.7015890670377055E-2</v>
      </c>
      <c r="W28" s="145">
        <v>0.16558865018840388</v>
      </c>
      <c r="X28" s="145">
        <v>0.12252104411114238</v>
      </c>
      <c r="Y28" s="144">
        <v>-2.2019354079236927E-2</v>
      </c>
    </row>
    <row r="29" spans="2:25" x14ac:dyDescent="0.3">
      <c r="B29" s="188"/>
      <c r="C29" s="188"/>
      <c r="D29" s="188"/>
      <c r="E29" s="188"/>
      <c r="F29" s="188"/>
      <c r="G29" s="188"/>
      <c r="H29" s="188"/>
      <c r="I29" s="188"/>
      <c r="J29" s="188"/>
      <c r="K29" s="188"/>
      <c r="L29" s="188"/>
      <c r="M29" s="188"/>
      <c r="N29" s="188"/>
      <c r="O29" s="10"/>
      <c r="P29" s="10"/>
      <c r="Q29" s="10"/>
      <c r="R29" s="13"/>
      <c r="S29" s="4" t="s">
        <v>17</v>
      </c>
      <c r="T29" s="156">
        <v>3.8399999999999997E-2</v>
      </c>
      <c r="U29" s="155">
        <v>3.4000000000000002E-2</v>
      </c>
      <c r="V29" s="155">
        <v>4.0500000000000001E-2</v>
      </c>
      <c r="W29" s="155">
        <v>3.0099999999999998E-2</v>
      </c>
      <c r="X29" s="155">
        <v>2.23E-2</v>
      </c>
      <c r="Y29" s="154">
        <v>2.63E-2</v>
      </c>
    </row>
    <row r="30" spans="2:25" x14ac:dyDescent="0.3">
      <c r="B30" s="188"/>
      <c r="C30" s="188"/>
      <c r="D30" s="188"/>
      <c r="E30" s="188"/>
      <c r="F30" s="188"/>
      <c r="G30" s="188"/>
      <c r="H30" s="188"/>
      <c r="I30" s="188"/>
      <c r="J30" s="188"/>
      <c r="K30" s="188"/>
      <c r="L30" s="188"/>
      <c r="M30" s="188"/>
      <c r="N30" s="188"/>
      <c r="O30" s="10"/>
      <c r="P30" s="10"/>
      <c r="Q30" s="10"/>
      <c r="R30" s="13"/>
      <c r="T30" s="31"/>
      <c r="Y30" s="14"/>
    </row>
    <row r="31" spans="2:25" x14ac:dyDescent="0.3">
      <c r="R31" s="209" t="s">
        <v>14</v>
      </c>
      <c r="S31" s="4" t="s">
        <v>18</v>
      </c>
      <c r="T31" s="153" t="s">
        <v>0</v>
      </c>
      <c r="U31" s="152">
        <v>0.1177</v>
      </c>
      <c r="V31" s="152">
        <v>0.21609999999999999</v>
      </c>
      <c r="W31" s="152">
        <v>-4.2299999999999997E-2</v>
      </c>
      <c r="X31" s="152">
        <v>0.31209999999999999</v>
      </c>
      <c r="Y31" s="151">
        <v>0.1802</v>
      </c>
    </row>
    <row r="32" spans="2:25" x14ac:dyDescent="0.3">
      <c r="R32" s="209"/>
      <c r="S32" s="4" t="s">
        <v>164</v>
      </c>
      <c r="T32" s="149" t="s">
        <v>0</v>
      </c>
      <c r="U32" s="148">
        <v>0.1152</v>
      </c>
      <c r="V32" s="148">
        <v>9.2299999999999993E-2</v>
      </c>
      <c r="W32" s="148">
        <v>-3.27E-2</v>
      </c>
      <c r="X32" s="148">
        <v>0.1525</v>
      </c>
      <c r="Y32" s="147">
        <v>0.106</v>
      </c>
    </row>
    <row r="33" spans="2:25" x14ac:dyDescent="0.3">
      <c r="B33" s="4" t="s">
        <v>190</v>
      </c>
      <c r="R33" s="210"/>
      <c r="S33" s="4" t="s">
        <v>163</v>
      </c>
      <c r="T33" s="146" t="s">
        <v>0</v>
      </c>
      <c r="U33" s="145">
        <v>5.4541790676526578E-2</v>
      </c>
      <c r="V33" s="145">
        <v>8.9528786541844152E-2</v>
      </c>
      <c r="W33" s="145">
        <v>-3.7015890670377055E-2</v>
      </c>
      <c r="X33" s="145">
        <v>0.16558865018840388</v>
      </c>
      <c r="Y33" s="144">
        <v>0.12252104411114238</v>
      </c>
    </row>
    <row r="34" spans="2:25" x14ac:dyDescent="0.3">
      <c r="B34" s="167"/>
      <c r="D34" s="9" t="s">
        <v>189</v>
      </c>
      <c r="E34" s="49" t="s">
        <v>95</v>
      </c>
      <c r="F34" s="49" t="s">
        <v>102</v>
      </c>
      <c r="G34" s="49" t="s">
        <v>93</v>
      </c>
      <c r="H34" s="49" t="s">
        <v>92</v>
      </c>
      <c r="I34" s="49" t="s">
        <v>91</v>
      </c>
      <c r="R34" s="13"/>
      <c r="S34" s="4" t="s">
        <v>17</v>
      </c>
      <c r="T34" s="156">
        <v>3.9699999999999999E-2</v>
      </c>
      <c r="U34" s="155">
        <v>3.8399999999999997E-2</v>
      </c>
      <c r="V34" s="155">
        <v>3.4000000000000002E-2</v>
      </c>
      <c r="W34" s="155">
        <v>4.0500000000000001E-2</v>
      </c>
      <c r="X34" s="155">
        <v>3.0099999999999998E-2</v>
      </c>
      <c r="Y34" s="154">
        <v>2.23E-2</v>
      </c>
    </row>
    <row r="35" spans="2:25" x14ac:dyDescent="0.3">
      <c r="B35" s="166" t="s">
        <v>12</v>
      </c>
      <c r="C35" s="11" t="s">
        <v>188</v>
      </c>
      <c r="D35" s="165" t="s">
        <v>0</v>
      </c>
      <c r="E35" s="11">
        <f>0.6</f>
        <v>0.6</v>
      </c>
      <c r="F35" s="11">
        <f>0.6</f>
        <v>0.6</v>
      </c>
      <c r="G35" s="11">
        <f>0.6</f>
        <v>0.6</v>
      </c>
      <c r="H35" s="11">
        <f>0.6</f>
        <v>0.6</v>
      </c>
      <c r="I35" s="12">
        <f>0.6</f>
        <v>0.6</v>
      </c>
      <c r="K35" s="30"/>
      <c r="L35" s="204" t="s">
        <v>187</v>
      </c>
      <c r="M35" s="204"/>
      <c r="N35" s="204"/>
      <c r="O35" s="204"/>
      <c r="P35" s="201"/>
      <c r="R35" s="13"/>
      <c r="T35" s="31"/>
      <c r="Y35" s="14"/>
    </row>
    <row r="36" spans="2:25" x14ac:dyDescent="0.3">
      <c r="B36" s="150"/>
      <c r="C36" t="s">
        <v>186</v>
      </c>
      <c r="D36" s="2" t="s">
        <v>0</v>
      </c>
      <c r="E36">
        <f>1-E35</f>
        <v>0.4</v>
      </c>
      <c r="F36">
        <f>1-F35</f>
        <v>0.4</v>
      </c>
      <c r="G36">
        <f>1-G35</f>
        <v>0.4</v>
      </c>
      <c r="H36">
        <f>1-H35</f>
        <v>0.4</v>
      </c>
      <c r="I36" s="14">
        <f>1-I35</f>
        <v>0.4</v>
      </c>
      <c r="K36" s="13"/>
      <c r="P36" s="14"/>
      <c r="R36" s="209" t="s">
        <v>15</v>
      </c>
      <c r="S36" s="4" t="s">
        <v>18</v>
      </c>
      <c r="T36" s="153" t="s">
        <v>0</v>
      </c>
      <c r="U36" s="152">
        <v>1.38E-2</v>
      </c>
      <c r="V36" s="152">
        <v>0.1177</v>
      </c>
      <c r="W36" s="152">
        <v>0.21609999999999999</v>
      </c>
      <c r="X36" s="152">
        <v>-4.2299999999999997E-2</v>
      </c>
      <c r="Y36" s="151">
        <v>0.31209999999999999</v>
      </c>
    </row>
    <row r="37" spans="2:25" x14ac:dyDescent="0.3">
      <c r="B37" s="150"/>
      <c r="D37" s="2"/>
      <c r="I37" s="14"/>
      <c r="K37" s="13"/>
      <c r="L37" s="9" t="s">
        <v>185</v>
      </c>
      <c r="M37" s="3"/>
      <c r="N37" s="9" t="s">
        <v>184</v>
      </c>
      <c r="P37" s="44" t="s">
        <v>183</v>
      </c>
      <c r="R37" s="209"/>
      <c r="S37" s="4" t="s">
        <v>164</v>
      </c>
      <c r="T37" s="149" t="s">
        <v>0</v>
      </c>
      <c r="U37" s="148">
        <v>-1.4999999999999999E-2</v>
      </c>
      <c r="V37" s="148">
        <v>0.1152</v>
      </c>
      <c r="W37" s="148">
        <v>9.2299999999999993E-2</v>
      </c>
      <c r="X37" s="148">
        <v>-3.27E-2</v>
      </c>
      <c r="Y37" s="147">
        <v>0.1525</v>
      </c>
    </row>
    <row r="38" spans="2:25" x14ac:dyDescent="0.3">
      <c r="B38" s="150"/>
      <c r="C38" t="s">
        <v>18</v>
      </c>
      <c r="D38" s="153" t="s">
        <v>0</v>
      </c>
      <c r="E38" s="152">
        <v>-4.2299999999999997E-2</v>
      </c>
      <c r="F38" s="152">
        <v>0.31209999999999999</v>
      </c>
      <c r="G38" s="152">
        <v>0.1802</v>
      </c>
      <c r="H38" s="152">
        <v>0.28470000000000001</v>
      </c>
      <c r="I38" s="151">
        <v>-0.1804</v>
      </c>
      <c r="K38" s="13" t="s">
        <v>182</v>
      </c>
      <c r="L38" s="70" t="s">
        <v>133</v>
      </c>
      <c r="N38" s="70" t="s">
        <v>133</v>
      </c>
      <c r="P38" s="73" t="s">
        <v>133</v>
      </c>
      <c r="R38" s="210"/>
      <c r="S38" s="4" t="s">
        <v>163</v>
      </c>
      <c r="T38" s="146" t="s">
        <v>0</v>
      </c>
      <c r="U38" s="145">
        <v>8.8452476082614279E-4</v>
      </c>
      <c r="V38" s="145">
        <v>5.4541790676526578E-2</v>
      </c>
      <c r="W38" s="145">
        <v>8.9528786541844152E-2</v>
      </c>
      <c r="X38" s="145">
        <v>-3.7015890670377055E-2</v>
      </c>
      <c r="Y38" s="144">
        <v>0.16558865018840388</v>
      </c>
    </row>
    <row r="39" spans="2:25" x14ac:dyDescent="0.3">
      <c r="B39" s="150"/>
      <c r="C39" t="s">
        <v>164</v>
      </c>
      <c r="D39" s="149" t="s">
        <v>0</v>
      </c>
      <c r="E39" s="148">
        <v>-3.27E-2</v>
      </c>
      <c r="F39" s="148">
        <v>0.1525</v>
      </c>
      <c r="G39" s="148">
        <v>0.106</v>
      </c>
      <c r="H39" s="148">
        <v>9.2999999999999992E-3</v>
      </c>
      <c r="I39" s="147">
        <v>-0.15140000000000001</v>
      </c>
      <c r="K39" s="13" t="s">
        <v>181</v>
      </c>
      <c r="L39" s="70" t="s">
        <v>133</v>
      </c>
      <c r="N39" s="70" t="s">
        <v>133</v>
      </c>
      <c r="P39" s="73" t="s">
        <v>133</v>
      </c>
      <c r="R39" s="13"/>
      <c r="S39" s="4" t="s">
        <v>17</v>
      </c>
      <c r="T39" s="156">
        <v>3.6499999999999998E-2</v>
      </c>
      <c r="U39" s="155">
        <v>3.9699999999999999E-2</v>
      </c>
      <c r="V39" s="155">
        <v>3.8399999999999997E-2</v>
      </c>
      <c r="W39" s="155">
        <v>3.4000000000000002E-2</v>
      </c>
      <c r="X39" s="155">
        <v>4.0500000000000001E-2</v>
      </c>
      <c r="Y39" s="154">
        <v>3.0099999999999998E-2</v>
      </c>
    </row>
    <row r="40" spans="2:25" x14ac:dyDescent="0.3">
      <c r="B40" s="150"/>
      <c r="C40" t="s">
        <v>16</v>
      </c>
      <c r="D40" s="2" t="s">
        <v>0</v>
      </c>
      <c r="E40" s="31">
        <f>E35*E38+E36*E39</f>
        <v>-3.8459999999999994E-2</v>
      </c>
      <c r="F40" s="31">
        <f>F35*F38+F36*F39</f>
        <v>0.24825999999999998</v>
      </c>
      <c r="G40" s="31">
        <f>G35*G38+G36*G39</f>
        <v>0.15051999999999999</v>
      </c>
      <c r="H40" s="31">
        <f>H35*H38+H36*H39</f>
        <v>0.17454</v>
      </c>
      <c r="I40" s="34">
        <f>I35*I38+I36*I39</f>
        <v>-0.16880000000000001</v>
      </c>
      <c r="K40" s="13" t="s">
        <v>180</v>
      </c>
      <c r="L40" s="70" t="s">
        <v>133</v>
      </c>
      <c r="N40" s="70" t="s">
        <v>133</v>
      </c>
      <c r="P40" s="73" t="s">
        <v>133</v>
      </c>
      <c r="R40" s="13"/>
      <c r="T40" s="31"/>
      <c r="Y40" s="14"/>
    </row>
    <row r="41" spans="2:25" x14ac:dyDescent="0.3">
      <c r="B41" s="150"/>
      <c r="I41" s="14"/>
      <c r="K41" s="13" t="s">
        <v>179</v>
      </c>
      <c r="L41" s="70" t="s">
        <v>133</v>
      </c>
      <c r="N41" s="70" t="s">
        <v>133</v>
      </c>
      <c r="P41" s="73" t="s">
        <v>133</v>
      </c>
      <c r="R41" s="209" t="s">
        <v>119</v>
      </c>
      <c r="S41" s="4" t="s">
        <v>18</v>
      </c>
      <c r="T41" s="153" t="s">
        <v>0</v>
      </c>
      <c r="U41" s="152">
        <v>0.13519999999999999</v>
      </c>
      <c r="V41" s="152">
        <v>1.38E-2</v>
      </c>
      <c r="W41" s="152">
        <v>0.1177</v>
      </c>
      <c r="X41" s="152">
        <v>0.21609999999999999</v>
      </c>
      <c r="Y41" s="151">
        <v>-4.2299999999999997E-2</v>
      </c>
    </row>
    <row r="42" spans="2:25" x14ac:dyDescent="0.3">
      <c r="B42" s="150"/>
      <c r="C42" t="s">
        <v>17</v>
      </c>
      <c r="D42" s="155">
        <v>3.4000000000000002E-2</v>
      </c>
      <c r="E42" s="155">
        <v>4.0500000000000001E-2</v>
      </c>
      <c r="F42" s="155">
        <v>3.0099999999999998E-2</v>
      </c>
      <c r="G42" s="155">
        <v>2.23E-2</v>
      </c>
      <c r="H42" s="155">
        <v>2.63E-2</v>
      </c>
      <c r="I42" s="154">
        <v>4.9500000000000002E-2</v>
      </c>
      <c r="K42" s="13" t="s">
        <v>178</v>
      </c>
      <c r="L42" s="70" t="s">
        <v>133</v>
      </c>
      <c r="N42" s="70" t="s">
        <v>133</v>
      </c>
      <c r="P42" s="73" t="s">
        <v>133</v>
      </c>
      <c r="R42" s="209"/>
      <c r="S42" s="4" t="s">
        <v>164</v>
      </c>
      <c r="T42" s="149" t="s">
        <v>0</v>
      </c>
      <c r="U42" s="148">
        <v>0.10780000000000001</v>
      </c>
      <c r="V42" s="148">
        <v>-1.4999999999999999E-2</v>
      </c>
      <c r="W42" s="148">
        <v>0.1152</v>
      </c>
      <c r="X42" s="148">
        <v>9.2299999999999993E-2</v>
      </c>
      <c r="Y42" s="147">
        <v>-3.27E-2</v>
      </c>
    </row>
    <row r="43" spans="2:25" x14ac:dyDescent="0.3">
      <c r="B43" s="150"/>
      <c r="C43" t="s">
        <v>177</v>
      </c>
      <c r="D43" s="2" t="s">
        <v>0</v>
      </c>
      <c r="E43">
        <v>12</v>
      </c>
      <c r="F43">
        <v>12</v>
      </c>
      <c r="G43">
        <v>12</v>
      </c>
      <c r="H43">
        <v>12</v>
      </c>
      <c r="I43" s="14">
        <v>12</v>
      </c>
      <c r="K43" s="13" t="s">
        <v>90</v>
      </c>
      <c r="L43" s="19">
        <v>1</v>
      </c>
      <c r="N43" s="19">
        <v>1</v>
      </c>
      <c r="P43" s="20">
        <v>1</v>
      </c>
      <c r="R43" s="210"/>
      <c r="S43" s="4" t="s">
        <v>163</v>
      </c>
      <c r="T43" s="146" t="s">
        <v>0</v>
      </c>
      <c r="U43" s="145">
        <v>0.14612169449722551</v>
      </c>
      <c r="V43" s="145">
        <v>8.8452476082614279E-4</v>
      </c>
      <c r="W43" s="145">
        <v>5.4541790676526578E-2</v>
      </c>
      <c r="X43" s="145">
        <v>8.9528786541844152E-2</v>
      </c>
      <c r="Y43" s="144">
        <v>-3.7015890670377055E-2</v>
      </c>
    </row>
    <row r="44" spans="2:25" x14ac:dyDescent="0.3">
      <c r="B44" s="150"/>
      <c r="I44" s="14"/>
      <c r="K44" s="13"/>
      <c r="P44" s="14"/>
      <c r="R44" s="13"/>
      <c r="S44" s="4" t="s">
        <v>17</v>
      </c>
      <c r="T44" s="156">
        <v>4.4999999999999998E-2</v>
      </c>
      <c r="U44" s="155">
        <v>3.6499999999999998E-2</v>
      </c>
      <c r="V44" s="155">
        <v>3.9699999999999999E-2</v>
      </c>
      <c r="W44" s="155">
        <v>3.8399999999999997E-2</v>
      </c>
      <c r="X44" s="155">
        <v>3.4000000000000002E-2</v>
      </c>
      <c r="Y44" s="154">
        <v>4.0500000000000001E-2</v>
      </c>
    </row>
    <row r="45" spans="2:25" x14ac:dyDescent="0.3">
      <c r="B45" s="150"/>
      <c r="C45" t="s">
        <v>176</v>
      </c>
      <c r="D45" s="2" t="s">
        <v>0</v>
      </c>
      <c r="E45" s="164">
        <f>S10</f>
        <v>25000000</v>
      </c>
      <c r="F45" s="164">
        <f>E45</f>
        <v>25000000</v>
      </c>
      <c r="G45" s="164">
        <f>F45</f>
        <v>25000000</v>
      </c>
      <c r="H45" s="164">
        <f>G45</f>
        <v>25000000</v>
      </c>
      <c r="I45" s="163">
        <f>H45</f>
        <v>25000000</v>
      </c>
      <c r="K45" s="13" t="s">
        <v>175</v>
      </c>
      <c r="L45" s="162" t="s">
        <v>133</v>
      </c>
      <c r="N45" s="162" t="s">
        <v>133</v>
      </c>
      <c r="P45" s="161" t="s">
        <v>133</v>
      </c>
      <c r="R45" s="13"/>
      <c r="T45" s="31"/>
      <c r="Y45" s="14"/>
    </row>
    <row r="46" spans="2:25" x14ac:dyDescent="0.3">
      <c r="B46" s="150"/>
      <c r="C46" t="s">
        <v>174</v>
      </c>
      <c r="D46" s="2" t="s">
        <v>0</v>
      </c>
      <c r="E46" s="17">
        <f>S12</f>
        <v>5000000</v>
      </c>
      <c r="F46" s="17">
        <f>S13</f>
        <v>5500000</v>
      </c>
      <c r="G46" s="17">
        <f>S14</f>
        <v>6500000</v>
      </c>
      <c r="H46" s="17">
        <f>S15</f>
        <v>7000000</v>
      </c>
      <c r="I46" s="18">
        <f>S16</f>
        <v>8000000</v>
      </c>
      <c r="K46" s="13" t="s">
        <v>173</v>
      </c>
      <c r="L46" s="162" t="s">
        <v>133</v>
      </c>
      <c r="N46" s="162" t="s">
        <v>133</v>
      </c>
      <c r="P46" s="161" t="s">
        <v>133</v>
      </c>
      <c r="R46" s="209" t="s">
        <v>120</v>
      </c>
      <c r="S46" s="4" t="s">
        <v>18</v>
      </c>
      <c r="T46" s="153" t="s">
        <v>0</v>
      </c>
      <c r="U46" s="152">
        <v>0.32150000000000001</v>
      </c>
      <c r="V46" s="152">
        <v>0.13519999999999999</v>
      </c>
      <c r="W46" s="152">
        <v>1.38E-2</v>
      </c>
      <c r="X46" s="152">
        <v>0.1177</v>
      </c>
      <c r="Y46" s="151">
        <v>0.21609999999999999</v>
      </c>
    </row>
    <row r="47" spans="2:25" x14ac:dyDescent="0.3">
      <c r="B47" s="150"/>
      <c r="I47" s="14"/>
      <c r="K47" s="13" t="s">
        <v>172</v>
      </c>
      <c r="L47" s="162" t="s">
        <v>133</v>
      </c>
      <c r="N47" s="162" t="s">
        <v>133</v>
      </c>
      <c r="P47" s="161" t="s">
        <v>133</v>
      </c>
      <c r="R47" s="209"/>
      <c r="S47" s="4" t="s">
        <v>164</v>
      </c>
      <c r="T47" s="149" t="s">
        <v>0</v>
      </c>
      <c r="U47" s="148">
        <v>-9.7999999999999997E-3</v>
      </c>
      <c r="V47" s="148">
        <v>0.10780000000000001</v>
      </c>
      <c r="W47" s="148">
        <v>-1.4999999999999999E-2</v>
      </c>
      <c r="X47" s="148">
        <v>0.1152</v>
      </c>
      <c r="Y47" s="147">
        <v>9.2299999999999993E-2</v>
      </c>
    </row>
    <row r="48" spans="2:25" x14ac:dyDescent="0.3">
      <c r="B48" s="150"/>
      <c r="C48" t="s">
        <v>171</v>
      </c>
      <c r="D48" s="17">
        <f>S8</f>
        <v>500000000</v>
      </c>
      <c r="E48" s="7">
        <f>(D48*(1+D42)-E46*(1+D42)^0.5)*(1+E43/100)^((D42-E42)*100)</f>
        <v>475561560.34508598</v>
      </c>
      <c r="F48" s="7">
        <f>(E48*(1+E42)-F46*(1+E42)^0.5)*(1+F43/100)^((E42-F42)*100)</f>
        <v>550406344.37456203</v>
      </c>
      <c r="G48" s="7">
        <f>(F48*(1+F42)-G46*(1+F42)^0.5)*(1+G43/100)^((F42-G42)*100)</f>
        <v>612167054.56883562</v>
      </c>
      <c r="H48" s="7">
        <f>(G48*(1+G42)-H46*(1+G42)^0.5)*(1+H43/100)^((G42-H42)*100)</f>
        <v>591318569.39350569</v>
      </c>
      <c r="I48" s="15">
        <f>(H48*(1+H42)-I46*(1+H42)^0.5)*(1+I43/100)^((H42-I42)*100)</f>
        <v>460331955.08658397</v>
      </c>
      <c r="K48" s="13"/>
      <c r="L48" s="2"/>
      <c r="N48" s="2"/>
      <c r="P48" s="35"/>
      <c r="R48" s="210"/>
      <c r="S48" s="4" t="s">
        <v>163</v>
      </c>
      <c r="T48" s="146" t="s">
        <v>0</v>
      </c>
      <c r="U48" s="145">
        <v>-6.2089486867026575E-2</v>
      </c>
      <c r="V48" s="145">
        <v>0.14612169449722551</v>
      </c>
      <c r="W48" s="145">
        <v>8.8452476082614279E-4</v>
      </c>
      <c r="X48" s="145">
        <v>5.4541790676526578E-2</v>
      </c>
      <c r="Y48" s="144">
        <v>8.9528786541844152E-2</v>
      </c>
    </row>
    <row r="49" spans="2:25" x14ac:dyDescent="0.3">
      <c r="B49" s="150"/>
      <c r="C49" t="s">
        <v>170</v>
      </c>
      <c r="D49" s="7">
        <f>S9</f>
        <v>425000000</v>
      </c>
      <c r="E49" s="7">
        <f>D49*(1+E40)+(E45-E46)*(1+E40)^0.5</f>
        <v>428266129.20310295</v>
      </c>
      <c r="F49" s="7">
        <f>E49*(1+F40)+(F45-F46)*(1+F40)^0.5</f>
        <v>556373961.97817731</v>
      </c>
      <c r="G49" s="7">
        <f>F49*(1+G40)+(G45-G46)*(1+G40)^0.5</f>
        <v>659962895.37164819</v>
      </c>
      <c r="H49" s="7">
        <f>G49*(1+H40)+(H45-H46)*(1+H40)^0.5</f>
        <v>794660534.52655029</v>
      </c>
      <c r="I49" s="15">
        <f>H49*(1+I40)+(I45-I46)*(1+I40)^0.5</f>
        <v>676020765.29372501</v>
      </c>
      <c r="K49" s="22" t="s">
        <v>169</v>
      </c>
      <c r="L49" s="160" t="s">
        <v>133</v>
      </c>
      <c r="M49" s="23"/>
      <c r="N49" s="160" t="s">
        <v>133</v>
      </c>
      <c r="O49" s="23"/>
      <c r="P49" s="159" t="s">
        <v>133</v>
      </c>
      <c r="R49" s="13"/>
      <c r="S49" s="4" t="s">
        <v>17</v>
      </c>
      <c r="T49" s="156">
        <v>3.5900000000000001E-2</v>
      </c>
      <c r="U49" s="155">
        <v>4.4999999999999998E-2</v>
      </c>
      <c r="V49" s="155">
        <v>3.6499999999999998E-2</v>
      </c>
      <c r="W49" s="155">
        <v>3.9699999999999999E-2</v>
      </c>
      <c r="X49" s="155">
        <v>3.8399999999999997E-2</v>
      </c>
      <c r="Y49" s="154">
        <v>3.4000000000000002E-2</v>
      </c>
    </row>
    <row r="50" spans="2:25" x14ac:dyDescent="0.3">
      <c r="B50" s="158"/>
      <c r="C50" s="23" t="s">
        <v>168</v>
      </c>
      <c r="D50" s="26">
        <f t="shared" ref="D50:I50" si="0">D49/D48</f>
        <v>0.85</v>
      </c>
      <c r="E50" s="26">
        <f t="shared" si="0"/>
        <v>0.9005482463560267</v>
      </c>
      <c r="F50" s="26">
        <f t="shared" si="0"/>
        <v>1.0108422035185594</v>
      </c>
      <c r="G50" s="157">
        <f t="shared" si="0"/>
        <v>1.0780764669481868</v>
      </c>
      <c r="H50" s="26">
        <f t="shared" si="0"/>
        <v>1.3438788762233616</v>
      </c>
      <c r="I50" s="27">
        <f t="shared" si="0"/>
        <v>1.4685505922928423</v>
      </c>
      <c r="R50" s="13"/>
      <c r="T50" s="31"/>
      <c r="Y50" s="14"/>
    </row>
    <row r="51" spans="2:25" x14ac:dyDescent="0.3">
      <c r="R51" s="209" t="s">
        <v>121</v>
      </c>
      <c r="S51" s="4" t="s">
        <v>18</v>
      </c>
      <c r="T51" s="153" t="s">
        <v>0</v>
      </c>
      <c r="U51" s="152">
        <v>0.15890000000000001</v>
      </c>
      <c r="V51" s="152">
        <v>0.32150000000000001</v>
      </c>
      <c r="W51" s="152">
        <v>0.13519999999999999</v>
      </c>
      <c r="X51" s="152">
        <v>1.38E-2</v>
      </c>
      <c r="Y51" s="151">
        <v>0.1177</v>
      </c>
    </row>
    <row r="52" spans="2:25" x14ac:dyDescent="0.3">
      <c r="R52" s="209"/>
      <c r="S52" s="4" t="s">
        <v>164</v>
      </c>
      <c r="T52" s="149" t="s">
        <v>0</v>
      </c>
      <c r="U52" s="148">
        <v>9.3299999999999994E-2</v>
      </c>
      <c r="V52" s="148">
        <v>-9.7999999999999997E-3</v>
      </c>
      <c r="W52" s="148">
        <v>0.10780000000000001</v>
      </c>
      <c r="X52" s="148">
        <v>-1.4999999999999999E-2</v>
      </c>
      <c r="Y52" s="147">
        <v>0.1152</v>
      </c>
    </row>
    <row r="53" spans="2:25" x14ac:dyDescent="0.3">
      <c r="R53" s="210"/>
      <c r="S53" s="4" t="s">
        <v>163</v>
      </c>
      <c r="T53" s="146" t="s">
        <v>0</v>
      </c>
      <c r="U53" s="145">
        <v>9.7901845706616586E-2</v>
      </c>
      <c r="V53" s="145">
        <v>-6.2089486867026575E-2</v>
      </c>
      <c r="W53" s="145">
        <v>0.14612169449722551</v>
      </c>
      <c r="X53" s="145">
        <v>8.8452476082614279E-4</v>
      </c>
      <c r="Y53" s="144">
        <v>5.4541790676526578E-2</v>
      </c>
    </row>
    <row r="54" spans="2:25" x14ac:dyDescent="0.3">
      <c r="R54" s="13"/>
      <c r="S54" s="4" t="s">
        <v>17</v>
      </c>
      <c r="T54" s="156">
        <v>4.0800000000000003E-2</v>
      </c>
      <c r="U54" s="155">
        <v>3.5900000000000001E-2</v>
      </c>
      <c r="V54" s="155">
        <v>4.4999999999999998E-2</v>
      </c>
      <c r="W54" s="155">
        <v>3.6499999999999998E-2</v>
      </c>
      <c r="X54" s="155">
        <v>3.9699999999999999E-2</v>
      </c>
      <c r="Y54" s="154">
        <v>3.8399999999999997E-2</v>
      </c>
    </row>
    <row r="55" spans="2:25" x14ac:dyDescent="0.3">
      <c r="R55" s="13"/>
      <c r="T55" s="31"/>
      <c r="Y55" s="14"/>
    </row>
    <row r="56" spans="2:25" x14ac:dyDescent="0.3">
      <c r="R56" s="209" t="s">
        <v>167</v>
      </c>
      <c r="S56" s="4" t="s">
        <v>18</v>
      </c>
      <c r="T56" s="153" t="s">
        <v>0</v>
      </c>
      <c r="U56" s="152">
        <v>2.1000000000000001E-2</v>
      </c>
      <c r="V56" s="152">
        <v>0.15890000000000001</v>
      </c>
      <c r="W56" s="152">
        <v>0.32150000000000001</v>
      </c>
      <c r="X56" s="152">
        <v>0.13519999999999999</v>
      </c>
      <c r="Y56" s="151">
        <v>1.38E-2</v>
      </c>
    </row>
    <row r="57" spans="2:25" x14ac:dyDescent="0.3">
      <c r="R57" s="209"/>
      <c r="S57" s="4" t="s">
        <v>164</v>
      </c>
      <c r="T57" s="149" t="s">
        <v>0</v>
      </c>
      <c r="U57" s="148">
        <v>0.1226</v>
      </c>
      <c r="V57" s="148">
        <v>9.3299999999999994E-2</v>
      </c>
      <c r="W57" s="148">
        <v>-9.7999999999999997E-3</v>
      </c>
      <c r="X57" s="148">
        <v>0.10780000000000001</v>
      </c>
      <c r="Y57" s="147">
        <v>-1.4999999999999999E-2</v>
      </c>
    </row>
    <row r="58" spans="2:25" x14ac:dyDescent="0.3">
      <c r="R58" s="210"/>
      <c r="S58" s="4" t="s">
        <v>163</v>
      </c>
      <c r="T58" s="146" t="s">
        <v>0</v>
      </c>
      <c r="U58" s="145">
        <v>0.1790416387153636</v>
      </c>
      <c r="V58" s="145">
        <v>9.7901845706616586E-2</v>
      </c>
      <c r="W58" s="145">
        <v>-6.2089486867026575E-2</v>
      </c>
      <c r="X58" s="145">
        <v>0.14612169449722551</v>
      </c>
      <c r="Y58" s="144">
        <v>8.8452476082614279E-4</v>
      </c>
    </row>
    <row r="59" spans="2:25" x14ac:dyDescent="0.3">
      <c r="R59" s="13"/>
      <c r="S59" s="4" t="s">
        <v>17</v>
      </c>
      <c r="T59" s="156">
        <v>5.1400000000000001E-2</v>
      </c>
      <c r="U59" s="155">
        <v>4.0800000000000003E-2</v>
      </c>
      <c r="V59" s="155">
        <v>3.5900000000000001E-2</v>
      </c>
      <c r="W59" s="155">
        <v>4.4999999999999998E-2</v>
      </c>
      <c r="X59" s="155">
        <v>3.6499999999999998E-2</v>
      </c>
      <c r="Y59" s="154">
        <v>3.9699999999999999E-2</v>
      </c>
    </row>
    <row r="60" spans="2:25" x14ac:dyDescent="0.3">
      <c r="R60" s="13"/>
      <c r="T60" s="31"/>
      <c r="Y60" s="14"/>
    </row>
    <row r="61" spans="2:25" x14ac:dyDescent="0.3">
      <c r="R61" s="209" t="s">
        <v>166</v>
      </c>
      <c r="S61" s="4" t="s">
        <v>18</v>
      </c>
      <c r="T61" s="153" t="s">
        <v>0</v>
      </c>
      <c r="U61" s="152">
        <v>0.1482</v>
      </c>
      <c r="V61" s="152">
        <v>2.1000000000000001E-2</v>
      </c>
      <c r="W61" s="152">
        <v>0.15890000000000001</v>
      </c>
      <c r="X61" s="152">
        <v>0.32150000000000001</v>
      </c>
      <c r="Y61" s="151">
        <v>0.13519999999999999</v>
      </c>
    </row>
    <row r="62" spans="2:25" x14ac:dyDescent="0.3">
      <c r="R62" s="209"/>
      <c r="S62" s="4" t="s">
        <v>164</v>
      </c>
      <c r="T62" s="149" t="s">
        <v>0</v>
      </c>
      <c r="U62" s="148">
        <v>9.4100000000000003E-2</v>
      </c>
      <c r="V62" s="148">
        <v>0.1226</v>
      </c>
      <c r="W62" s="148">
        <v>9.3299999999999994E-2</v>
      </c>
      <c r="X62" s="148">
        <v>-9.7999999999999997E-3</v>
      </c>
      <c r="Y62" s="147">
        <v>0.10780000000000001</v>
      </c>
    </row>
    <row r="63" spans="2:25" x14ac:dyDescent="0.3">
      <c r="R63" s="210"/>
      <c r="S63" s="4" t="s">
        <v>163</v>
      </c>
      <c r="T63" s="146" t="s">
        <v>0</v>
      </c>
      <c r="U63" s="145">
        <v>0.11730196105616943</v>
      </c>
      <c r="V63" s="145">
        <v>0.1790416387153636</v>
      </c>
      <c r="W63" s="145">
        <v>9.7901845706616586E-2</v>
      </c>
      <c r="X63" s="145">
        <v>-6.2089486867026575E-2</v>
      </c>
      <c r="Y63" s="144">
        <v>0.14612169449722551</v>
      </c>
    </row>
    <row r="64" spans="2:25" x14ac:dyDescent="0.3">
      <c r="R64" s="13"/>
      <c r="S64" s="4" t="s">
        <v>17</v>
      </c>
      <c r="T64" s="156">
        <v>5.6599999999999998E-2</v>
      </c>
      <c r="U64" s="155">
        <v>5.1400000000000001E-2</v>
      </c>
      <c r="V64" s="155">
        <v>4.0800000000000003E-2</v>
      </c>
      <c r="W64" s="155">
        <v>3.5900000000000001E-2</v>
      </c>
      <c r="X64" s="155">
        <v>4.4999999999999998E-2</v>
      </c>
      <c r="Y64" s="154">
        <v>3.6499999999999998E-2</v>
      </c>
    </row>
    <row r="65" spans="18:25" x14ac:dyDescent="0.3">
      <c r="R65" s="13"/>
      <c r="T65" s="31"/>
      <c r="Y65" s="14"/>
    </row>
    <row r="66" spans="18:25" x14ac:dyDescent="0.3">
      <c r="R66" s="209" t="s">
        <v>165</v>
      </c>
      <c r="S66" s="4" t="s">
        <v>18</v>
      </c>
      <c r="T66" s="153" t="s">
        <v>0</v>
      </c>
      <c r="U66" s="152">
        <v>0.25940000000000002</v>
      </c>
      <c r="V66" s="152">
        <v>0.1482</v>
      </c>
      <c r="W66" s="152">
        <v>2.1000000000000001E-2</v>
      </c>
      <c r="X66" s="152">
        <v>0.15890000000000001</v>
      </c>
      <c r="Y66" s="151">
        <v>0.32150000000000001</v>
      </c>
    </row>
    <row r="67" spans="18:25" x14ac:dyDescent="0.3">
      <c r="R67" s="209"/>
      <c r="S67" s="4" t="s">
        <v>164</v>
      </c>
      <c r="T67" s="149" t="s">
        <v>0</v>
      </c>
      <c r="U67" s="148">
        <v>0.2021</v>
      </c>
      <c r="V67" s="148">
        <v>9.4100000000000003E-2</v>
      </c>
      <c r="W67" s="148">
        <v>0.1226</v>
      </c>
      <c r="X67" s="148">
        <v>9.3299999999999994E-2</v>
      </c>
      <c r="Y67" s="147">
        <v>-9.7999999999999997E-3</v>
      </c>
    </row>
    <row r="68" spans="18:25" x14ac:dyDescent="0.3">
      <c r="R68" s="210"/>
      <c r="S68" s="4" t="s">
        <v>163</v>
      </c>
      <c r="T68" s="146" t="s">
        <v>0</v>
      </c>
      <c r="U68" s="145">
        <v>4.19E-2</v>
      </c>
      <c r="V68" s="145">
        <v>0.11730196105616943</v>
      </c>
      <c r="W68" s="145">
        <v>0.1790416387153636</v>
      </c>
      <c r="X68" s="145">
        <v>9.7901845706616586E-2</v>
      </c>
      <c r="Y68" s="144">
        <v>-6.2089486867026575E-2</v>
      </c>
    </row>
    <row r="69" spans="18:25" x14ac:dyDescent="0.3">
      <c r="R69" s="22"/>
      <c r="S69" s="143" t="s">
        <v>17</v>
      </c>
      <c r="T69" s="142">
        <v>5.5399999999999998E-2</v>
      </c>
      <c r="U69" s="141">
        <v>5.6599999999999998E-2</v>
      </c>
      <c r="V69" s="141">
        <v>5.1400000000000001E-2</v>
      </c>
      <c r="W69" s="141">
        <v>4.0800000000000003E-2</v>
      </c>
      <c r="X69" s="141">
        <v>3.5900000000000001E-2</v>
      </c>
      <c r="Y69" s="140">
        <v>4.4999999999999998E-2</v>
      </c>
    </row>
  </sheetData>
  <mergeCells count="13">
    <mergeCell ref="R66:R68"/>
    <mergeCell ref="B6:N30"/>
    <mergeCell ref="V6:X6"/>
    <mergeCell ref="R21:R23"/>
    <mergeCell ref="R26:R28"/>
    <mergeCell ref="R31:R33"/>
    <mergeCell ref="L35:P35"/>
    <mergeCell ref="R41:R43"/>
    <mergeCell ref="R46:R48"/>
    <mergeCell ref="R36:R38"/>
    <mergeCell ref="R51:R53"/>
    <mergeCell ref="R56:R58"/>
    <mergeCell ref="R61:R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D9656-78ED-4F4C-AB3C-720B1321E418}">
  <sheetPr>
    <tabColor theme="9" tint="0.59999389629810485"/>
  </sheetPr>
  <dimension ref="A1:AX198"/>
  <sheetViews>
    <sheetView zoomScale="115" zoomScaleNormal="115" workbookViewId="0"/>
  </sheetViews>
  <sheetFormatPr defaultRowHeight="14.4" x14ac:dyDescent="0.3"/>
  <cols>
    <col min="1" max="1" width="5.109375" customWidth="1"/>
    <col min="2" max="2" width="25.109375" customWidth="1"/>
    <col min="3" max="3" width="29.88671875" bestFit="1" customWidth="1"/>
    <col min="4" max="4" width="9.33203125" customWidth="1"/>
    <col min="5" max="5" width="10.6640625" customWidth="1"/>
    <col min="6" max="6" width="11" customWidth="1"/>
    <col min="7" max="7" width="10.44140625" customWidth="1"/>
    <col min="8" max="8" width="9.44140625" customWidth="1"/>
    <col min="9" max="9" width="11" customWidth="1"/>
    <col min="10" max="11" width="5.44140625" customWidth="1"/>
    <col min="12" max="12" width="32" bestFit="1" customWidth="1"/>
    <col min="13" max="13" width="18.33203125" bestFit="1" customWidth="1"/>
    <col min="15" max="15" width="13.5546875" bestFit="1" customWidth="1"/>
    <col min="17" max="17" width="14" bestFit="1" customWidth="1"/>
    <col min="18" max="19" width="4.33203125" customWidth="1"/>
    <col min="20" max="20" width="11.6640625" customWidth="1"/>
    <col min="21" max="21" width="29.44140625" bestFit="1" customWidth="1"/>
    <col min="22" max="22" width="13.33203125" bestFit="1" customWidth="1"/>
    <col min="23" max="23" width="17.44140625" bestFit="1" customWidth="1"/>
    <col min="24" max="24" width="13.33203125" bestFit="1" customWidth="1"/>
    <col min="25" max="25" width="21.109375" bestFit="1" customWidth="1"/>
    <col min="26" max="26" width="13.33203125" bestFit="1" customWidth="1"/>
    <col min="27" max="27" width="12.5546875" bestFit="1" customWidth="1"/>
    <col min="28" max="28" width="16.33203125" bestFit="1" customWidth="1"/>
    <col min="29" max="30" width="6" customWidth="1"/>
    <col min="31" max="31" width="11.33203125" bestFit="1" customWidth="1"/>
    <col min="32" max="32" width="28.33203125" bestFit="1" customWidth="1"/>
    <col min="33" max="38" width="12.5546875" bestFit="1" customWidth="1"/>
    <col min="39" max="39" width="16.33203125" bestFit="1" customWidth="1"/>
    <col min="40" max="41" width="5.6640625" customWidth="1"/>
    <col min="42" max="42" width="11.33203125" bestFit="1" customWidth="1"/>
    <col min="43" max="43" width="28.6640625" bestFit="1" customWidth="1"/>
    <col min="44" max="49" width="12.5546875" bestFit="1" customWidth="1"/>
    <col min="50" max="50" width="16.33203125" bestFit="1" customWidth="1"/>
  </cols>
  <sheetData>
    <row r="1" spans="1:49" x14ac:dyDescent="0.3">
      <c r="A1" s="186" t="s">
        <v>222</v>
      </c>
    </row>
    <row r="3" spans="1:49" x14ac:dyDescent="0.3">
      <c r="A3" s="1" t="s">
        <v>1</v>
      </c>
    </row>
    <row r="4" spans="1:49" x14ac:dyDescent="0.3">
      <c r="A4" t="s">
        <v>205</v>
      </c>
    </row>
    <row r="6" spans="1:49" x14ac:dyDescent="0.3">
      <c r="B6" s="30"/>
      <c r="C6" s="11"/>
      <c r="D6" s="11"/>
      <c r="E6" s="11"/>
      <c r="F6" s="200" t="s">
        <v>203</v>
      </c>
      <c r="G6" s="211"/>
      <c r="H6" s="212"/>
      <c r="I6" s="12"/>
      <c r="L6" s="4" t="s">
        <v>4</v>
      </c>
    </row>
    <row r="7" spans="1:49" ht="43.2" x14ac:dyDescent="0.3">
      <c r="B7" s="21" t="s">
        <v>202</v>
      </c>
      <c r="F7" s="71" t="s">
        <v>168</v>
      </c>
      <c r="G7" s="9" t="s">
        <v>201</v>
      </c>
      <c r="H7" s="37" t="s">
        <v>200</v>
      </c>
      <c r="I7" s="14"/>
      <c r="L7" s="30"/>
      <c r="M7" s="204" t="s">
        <v>187</v>
      </c>
      <c r="N7" s="204"/>
      <c r="O7" s="204"/>
      <c r="P7" s="204"/>
      <c r="Q7" s="201"/>
    </row>
    <row r="8" spans="1:49" x14ac:dyDescent="0.3">
      <c r="B8" s="30" t="s">
        <v>199</v>
      </c>
      <c r="C8" s="174">
        <v>500000000</v>
      </c>
      <c r="D8" s="17"/>
      <c r="F8" s="170">
        <v>0.6</v>
      </c>
      <c r="G8" s="19">
        <f>1-H8</f>
        <v>0.75</v>
      </c>
      <c r="H8" s="20">
        <v>0.25</v>
      </c>
      <c r="I8" s="14"/>
      <c r="L8" s="13"/>
      <c r="Q8" s="14"/>
    </row>
    <row r="9" spans="1:49" x14ac:dyDescent="0.3">
      <c r="B9" s="13" t="s">
        <v>198</v>
      </c>
      <c r="C9" s="15">
        <v>425000000</v>
      </c>
      <c r="D9" s="7"/>
      <c r="F9" s="170">
        <v>0.65</v>
      </c>
      <c r="G9" s="19">
        <f>1-H9</f>
        <v>0.75</v>
      </c>
      <c r="H9" s="20">
        <v>0.25</v>
      </c>
      <c r="I9" s="14"/>
      <c r="L9" s="13"/>
      <c r="M9" s="9" t="s">
        <v>185</v>
      </c>
      <c r="N9" s="3"/>
      <c r="O9" s="9" t="s">
        <v>184</v>
      </c>
      <c r="Q9" s="44" t="s">
        <v>183</v>
      </c>
    </row>
    <row r="10" spans="1:49" x14ac:dyDescent="0.3">
      <c r="B10" s="13" t="s">
        <v>197</v>
      </c>
      <c r="C10" s="163">
        <f>(1.1*C8-C9)/5</f>
        <v>25000000</v>
      </c>
      <c r="D10" s="17"/>
      <c r="E10" s="17"/>
      <c r="F10" s="170">
        <v>0.75</v>
      </c>
      <c r="G10" s="19">
        <f>1-H10</f>
        <v>0.7</v>
      </c>
      <c r="H10" s="20">
        <v>0.3</v>
      </c>
      <c r="I10" s="14"/>
      <c r="L10" s="13" t="s">
        <v>182</v>
      </c>
      <c r="M10" s="19">
        <f>COUNTIF(AB$11:AB$192,25000000)/10</f>
        <v>0.1</v>
      </c>
      <c r="O10" s="19">
        <f>COUNTIF(AM$11:AM$192,25000000)/10</f>
        <v>0</v>
      </c>
      <c r="Q10" s="20">
        <f>COUNTIF(AX$11:AX$192,25000000)/10</f>
        <v>0.1</v>
      </c>
      <c r="S10" s="167"/>
      <c r="T10" s="167"/>
      <c r="V10" s="9" t="s">
        <v>189</v>
      </c>
      <c r="W10" s="49" t="s">
        <v>95</v>
      </c>
      <c r="X10" s="49" t="s">
        <v>102</v>
      </c>
      <c r="Y10" s="49" t="s">
        <v>93</v>
      </c>
      <c r="Z10" s="49" t="s">
        <v>92</v>
      </c>
      <c r="AA10" s="49" t="s">
        <v>91</v>
      </c>
      <c r="AE10" s="167"/>
      <c r="AG10" s="9" t="s">
        <v>189</v>
      </c>
      <c r="AH10" s="49" t="s">
        <v>95</v>
      </c>
      <c r="AI10" s="49" t="s">
        <v>102</v>
      </c>
      <c r="AJ10" s="49" t="s">
        <v>93</v>
      </c>
      <c r="AK10" s="49" t="s">
        <v>92</v>
      </c>
      <c r="AL10" s="49" t="s">
        <v>91</v>
      </c>
      <c r="AP10" s="167"/>
      <c r="AR10" s="9" t="s">
        <v>189</v>
      </c>
      <c r="AS10" s="49" t="s">
        <v>95</v>
      </c>
      <c r="AT10" s="49" t="s">
        <v>102</v>
      </c>
      <c r="AU10" s="49" t="s">
        <v>93</v>
      </c>
      <c r="AV10" s="49" t="s">
        <v>92</v>
      </c>
      <c r="AW10" s="49" t="s">
        <v>91</v>
      </c>
    </row>
    <row r="11" spans="1:49" x14ac:dyDescent="0.3">
      <c r="B11" s="103" t="s">
        <v>196</v>
      </c>
      <c r="C11" s="18"/>
      <c r="D11" s="17"/>
      <c r="F11" s="170">
        <v>0.8</v>
      </c>
      <c r="G11" s="19">
        <f>1-H11</f>
        <v>0.65</v>
      </c>
      <c r="H11" s="20">
        <v>0.35</v>
      </c>
      <c r="I11" s="14"/>
      <c r="L11" s="13" t="s">
        <v>181</v>
      </c>
      <c r="M11" s="19">
        <f>COUNTIF(AB$11:AB$192,50000000)/10</f>
        <v>0.1</v>
      </c>
      <c r="O11" s="19">
        <f>COUNTIF(AM$11:AM$192,50000000)/10</f>
        <v>0</v>
      </c>
      <c r="Q11" s="20">
        <f>COUNTIF(AX$11:AX$192,50000000)/10</f>
        <v>0.1</v>
      </c>
      <c r="S11" s="47"/>
      <c r="T11" s="213" t="s">
        <v>12</v>
      </c>
      <c r="U11" s="11" t="s">
        <v>188</v>
      </c>
      <c r="V11" s="165" t="s">
        <v>0</v>
      </c>
      <c r="W11" s="11">
        <f>0.6</f>
        <v>0.6</v>
      </c>
      <c r="X11" s="11">
        <f>0.6</f>
        <v>0.6</v>
      </c>
      <c r="Y11" s="11">
        <f>0.6</f>
        <v>0.6</v>
      </c>
      <c r="Z11" s="11">
        <f>0.6</f>
        <v>0.6</v>
      </c>
      <c r="AA11" s="12">
        <f>0.6</f>
        <v>0.6</v>
      </c>
      <c r="AE11" s="213" t="s">
        <v>12</v>
      </c>
      <c r="AF11" s="11" t="s">
        <v>188</v>
      </c>
      <c r="AG11" s="165" t="s">
        <v>0</v>
      </c>
      <c r="AH11" s="11">
        <v>0</v>
      </c>
      <c r="AI11" s="11">
        <v>0</v>
      </c>
      <c r="AJ11" s="11">
        <v>0</v>
      </c>
      <c r="AK11" s="11">
        <v>0</v>
      </c>
      <c r="AL11" s="12">
        <v>0</v>
      </c>
      <c r="AP11" s="213" t="s">
        <v>12</v>
      </c>
      <c r="AQ11" s="11" t="s">
        <v>188</v>
      </c>
      <c r="AR11" s="165" t="s">
        <v>0</v>
      </c>
      <c r="AS11" s="11">
        <f>VLOOKUP(AR26,$F$8:$H$17,2,TRUE)</f>
        <v>0.6</v>
      </c>
      <c r="AT11" s="11">
        <f>VLOOKUP(AS26,$F$8:$H$17,2,TRUE)</f>
        <v>0.6</v>
      </c>
      <c r="AU11" s="11">
        <f>VLOOKUP(AT26,$F$8:$H$17,2,TRUE)</f>
        <v>0.25</v>
      </c>
      <c r="AV11" s="11">
        <f>VLOOKUP(AU26,$F$8:$H$17,2,TRUE)</f>
        <v>9.9999999999999978E-2</v>
      </c>
      <c r="AW11" s="12">
        <f>VLOOKUP(AV26,$F$8:$H$17,2,TRUE)</f>
        <v>0</v>
      </c>
    </row>
    <row r="12" spans="1:49" x14ac:dyDescent="0.3">
      <c r="B12" s="13" t="s">
        <v>195</v>
      </c>
      <c r="C12" s="18">
        <v>5000000</v>
      </c>
      <c r="D12" s="17"/>
      <c r="F12" s="170">
        <v>0.85</v>
      </c>
      <c r="G12" s="172">
        <v>0.6</v>
      </c>
      <c r="H12" s="171">
        <v>0.4</v>
      </c>
      <c r="I12" s="14"/>
      <c r="L12" s="13" t="s">
        <v>180</v>
      </c>
      <c r="M12" s="19">
        <f>COUNTIF(AB$11:AB$192,75000000)/10</f>
        <v>0.5</v>
      </c>
      <c r="O12" s="19">
        <f>COUNTIF(AM$11:AM$192,75000000)/10</f>
        <v>0</v>
      </c>
      <c r="Q12" s="20">
        <f>COUNTIF(AX$11:AX$192,75000000)/10</f>
        <v>0.1</v>
      </c>
      <c r="S12" s="47"/>
      <c r="T12" s="209"/>
      <c r="U12" t="s">
        <v>186</v>
      </c>
      <c r="V12" s="2" t="s">
        <v>0</v>
      </c>
      <c r="W12">
        <f>1-W11</f>
        <v>0.4</v>
      </c>
      <c r="X12">
        <f>1-X11</f>
        <v>0.4</v>
      </c>
      <c r="Y12">
        <f>1-Y11</f>
        <v>0.4</v>
      </c>
      <c r="Z12">
        <f>1-Z11</f>
        <v>0.4</v>
      </c>
      <c r="AA12" s="14">
        <f>1-AA11</f>
        <v>0.4</v>
      </c>
      <c r="AE12" s="209"/>
      <c r="AF12" t="s">
        <v>163</v>
      </c>
      <c r="AG12" s="2" t="s">
        <v>0</v>
      </c>
      <c r="AH12">
        <f>1-AH11</f>
        <v>1</v>
      </c>
      <c r="AI12">
        <f>1-AI11</f>
        <v>1</v>
      </c>
      <c r="AJ12">
        <f>1-AJ11</f>
        <v>1</v>
      </c>
      <c r="AK12">
        <f>1-AK11</f>
        <v>1</v>
      </c>
      <c r="AL12" s="14">
        <f>1-AL11</f>
        <v>1</v>
      </c>
      <c r="AP12" s="209"/>
      <c r="AQ12" t="s">
        <v>163</v>
      </c>
      <c r="AR12" s="2" t="s">
        <v>0</v>
      </c>
      <c r="AS12">
        <f>1-AS11</f>
        <v>0.4</v>
      </c>
      <c r="AT12">
        <f>1-AT11</f>
        <v>0.4</v>
      </c>
      <c r="AU12">
        <f>1-AU11</f>
        <v>0.75</v>
      </c>
      <c r="AV12">
        <f>1-AV11</f>
        <v>0.9</v>
      </c>
      <c r="AW12" s="14">
        <f>1-AW11</f>
        <v>1</v>
      </c>
    </row>
    <row r="13" spans="1:49" x14ac:dyDescent="0.3">
      <c r="B13" s="13" t="s">
        <v>194</v>
      </c>
      <c r="C13" s="18">
        <f>C12+500000</f>
        <v>5500000</v>
      </c>
      <c r="D13" s="17"/>
      <c r="F13" s="170">
        <v>0.9</v>
      </c>
      <c r="G13" s="19">
        <f>1-H13</f>
        <v>0.5</v>
      </c>
      <c r="H13" s="20">
        <v>0.5</v>
      </c>
      <c r="I13" s="14"/>
      <c r="L13" s="13" t="s">
        <v>179</v>
      </c>
      <c r="M13" s="19">
        <f>COUNTIF(AB$11:AB$192,100000000)/10</f>
        <v>0.3</v>
      </c>
      <c r="O13" s="19">
        <f>COUNTIF(AM$11:AM$192,100000000)/10</f>
        <v>0</v>
      </c>
      <c r="Q13" s="20">
        <f>COUNTIF(AX$11:AX$192,100000000)/10</f>
        <v>0.6</v>
      </c>
      <c r="T13" s="209"/>
      <c r="V13" s="2"/>
      <c r="AA13" s="14"/>
      <c r="AE13" s="209"/>
      <c r="AG13" s="2"/>
      <c r="AL13" s="14"/>
      <c r="AP13" s="209"/>
      <c r="AR13" s="2"/>
      <c r="AW13" s="14"/>
    </row>
    <row r="14" spans="1:49" x14ac:dyDescent="0.3">
      <c r="B14" s="13" t="s">
        <v>193</v>
      </c>
      <c r="C14" s="18">
        <v>6500000</v>
      </c>
      <c r="D14" s="17"/>
      <c r="F14" s="170">
        <v>0.95</v>
      </c>
      <c r="G14" s="19">
        <f>1-H14</f>
        <v>0.4</v>
      </c>
      <c r="H14" s="20">
        <v>0.6</v>
      </c>
      <c r="I14" s="14"/>
      <c r="L14" s="13" t="s">
        <v>178</v>
      </c>
      <c r="M14" s="185">
        <f>COUNTIF(AB$11:AB$192,125000000)/10</f>
        <v>0</v>
      </c>
      <c r="O14" s="19">
        <f>COUNTIF(AM$11:AM$192,125000000)/10</f>
        <v>1</v>
      </c>
      <c r="Q14" s="20">
        <f>COUNTIF(AX$11:AX$192,125000000)/10</f>
        <v>0.1</v>
      </c>
      <c r="S14" s="47"/>
      <c r="T14" s="209"/>
      <c r="U14" t="s">
        <v>18</v>
      </c>
      <c r="V14" s="153" t="s">
        <v>0</v>
      </c>
      <c r="W14" s="152">
        <v>-4.2299999999999997E-2</v>
      </c>
      <c r="X14" s="152">
        <v>0.31209999999999999</v>
      </c>
      <c r="Y14" s="152">
        <v>0.1802</v>
      </c>
      <c r="Z14" s="152">
        <v>0.28470000000000001</v>
      </c>
      <c r="AA14" s="151">
        <v>-0.1804</v>
      </c>
      <c r="AE14" s="209"/>
      <c r="AF14" t="s">
        <v>18</v>
      </c>
      <c r="AG14" s="153" t="s">
        <v>0</v>
      </c>
      <c r="AH14" s="152">
        <v>-4.2299999999999997E-2</v>
      </c>
      <c r="AI14" s="152">
        <v>0.31209999999999999</v>
      </c>
      <c r="AJ14" s="152">
        <v>0.1802</v>
      </c>
      <c r="AK14" s="152">
        <v>0.28470000000000001</v>
      </c>
      <c r="AL14" s="151">
        <v>-0.1804</v>
      </c>
      <c r="AP14" s="209"/>
      <c r="AQ14" t="s">
        <v>18</v>
      </c>
      <c r="AR14" s="153" t="s">
        <v>0</v>
      </c>
      <c r="AS14" s="152">
        <v>-4.2299999999999997E-2</v>
      </c>
      <c r="AT14" s="152">
        <v>0.31209999999999999</v>
      </c>
      <c r="AU14" s="152">
        <v>0.1802</v>
      </c>
      <c r="AV14" s="152">
        <v>0.28470000000000001</v>
      </c>
      <c r="AW14" s="151">
        <v>-0.1804</v>
      </c>
    </row>
    <row r="15" spans="1:49" x14ac:dyDescent="0.3">
      <c r="B15" s="13" t="s">
        <v>192</v>
      </c>
      <c r="C15" s="18">
        <f>C14+500000</f>
        <v>7000000</v>
      </c>
      <c r="D15" s="17"/>
      <c r="F15" s="170">
        <v>1</v>
      </c>
      <c r="G15" s="19">
        <f>1-H15</f>
        <v>0.25</v>
      </c>
      <c r="H15" s="20">
        <v>0.75</v>
      </c>
      <c r="I15" s="14"/>
      <c r="L15" s="13" t="s">
        <v>90</v>
      </c>
      <c r="M15" s="19">
        <f>SUM(M10:M14)</f>
        <v>1</v>
      </c>
      <c r="O15" s="19">
        <f>SUM(O10:O14)</f>
        <v>1</v>
      </c>
      <c r="Q15" s="20">
        <f>SUM(Q10:Q14)</f>
        <v>1</v>
      </c>
      <c r="S15" s="47"/>
      <c r="T15" s="209"/>
      <c r="U15" t="s">
        <v>164</v>
      </c>
      <c r="V15" s="149" t="s">
        <v>0</v>
      </c>
      <c r="W15" s="148">
        <v>-3.27E-2</v>
      </c>
      <c r="X15" s="148">
        <v>0.1525</v>
      </c>
      <c r="Y15" s="148">
        <v>0.106</v>
      </c>
      <c r="Z15" s="148">
        <v>9.2999999999999992E-3</v>
      </c>
      <c r="AA15" s="147">
        <v>-0.15140000000000001</v>
      </c>
      <c r="AE15" s="209"/>
      <c r="AF15" t="s">
        <v>163</v>
      </c>
      <c r="AG15" s="146" t="s">
        <v>0</v>
      </c>
      <c r="AH15" s="182">
        <v>-3.7015890670377055E-2</v>
      </c>
      <c r="AI15" s="182">
        <v>0.16558865018840388</v>
      </c>
      <c r="AJ15" s="182">
        <v>0.12252104411114238</v>
      </c>
      <c r="AK15" s="182">
        <v>-2.2019354079236927E-2</v>
      </c>
      <c r="AL15" s="181">
        <v>-0.20489856125571915</v>
      </c>
      <c r="AP15" s="209"/>
      <c r="AQ15" t="s">
        <v>163</v>
      </c>
      <c r="AR15" s="146" t="s">
        <v>0</v>
      </c>
      <c r="AS15" s="182">
        <v>-3.7015890670377055E-2</v>
      </c>
      <c r="AT15" s="182">
        <v>0.16558865018840388</v>
      </c>
      <c r="AU15" s="182">
        <v>0.12252104411114238</v>
      </c>
      <c r="AV15" s="182">
        <v>-2.2019354079236927E-2</v>
      </c>
      <c r="AW15" s="181">
        <v>-0.20489856125571915</v>
      </c>
    </row>
    <row r="16" spans="1:49" x14ac:dyDescent="0.3">
      <c r="B16" s="22" t="s">
        <v>191</v>
      </c>
      <c r="C16" s="41">
        <v>8000000</v>
      </c>
      <c r="F16" s="170">
        <v>1.05</v>
      </c>
      <c r="G16" s="19">
        <f>1-H16</f>
        <v>9.9999999999999978E-2</v>
      </c>
      <c r="H16" s="20">
        <v>0.9</v>
      </c>
      <c r="I16" s="14"/>
      <c r="L16" s="13"/>
      <c r="Q16" s="14"/>
      <c r="T16" s="209"/>
      <c r="U16" t="s">
        <v>16</v>
      </c>
      <c r="V16" s="2" t="s">
        <v>0</v>
      </c>
      <c r="W16" s="31">
        <f>W11*W14+W12*W15</f>
        <v>-3.8459999999999994E-2</v>
      </c>
      <c r="X16" s="31">
        <f>X11*X14+X12*X15</f>
        <v>0.24825999999999998</v>
      </c>
      <c r="Y16" s="31">
        <f>Y11*Y14+Y12*Y15</f>
        <v>0.15051999999999999</v>
      </c>
      <c r="Z16" s="31">
        <f>Z11*Z14+Z12*Z15</f>
        <v>0.17454</v>
      </c>
      <c r="AA16" s="34">
        <f>AA11*AA14+AA12*AA15</f>
        <v>-0.16880000000000001</v>
      </c>
      <c r="AE16" s="209"/>
      <c r="AF16" t="s">
        <v>16</v>
      </c>
      <c r="AG16" s="2" t="s">
        <v>0</v>
      </c>
      <c r="AH16" s="31">
        <f>AH11*AH14+AH12*AH15</f>
        <v>-3.7015890670377055E-2</v>
      </c>
      <c r="AI16" s="31">
        <f>AI11*AI14+AI12*AI15</f>
        <v>0.16558865018840388</v>
      </c>
      <c r="AJ16" s="31">
        <f>AJ11*AJ14+AJ12*AJ15</f>
        <v>0.12252104411114238</v>
      </c>
      <c r="AK16" s="31">
        <f>AK11*AK14+AK12*AK15</f>
        <v>-2.2019354079236927E-2</v>
      </c>
      <c r="AL16" s="34">
        <f>AL11*AL14+AL12*AL15</f>
        <v>-0.20489856125571915</v>
      </c>
      <c r="AP16" s="209"/>
      <c r="AQ16" t="s">
        <v>16</v>
      </c>
      <c r="AR16" s="2" t="s">
        <v>0</v>
      </c>
      <c r="AS16" s="31">
        <f>AS11*AS14+AS12*AS15</f>
        <v>-4.018635626815082E-2</v>
      </c>
      <c r="AT16" s="31">
        <f>AT11*AT14+AT12*AT15</f>
        <v>0.25349546007536156</v>
      </c>
      <c r="AU16" s="31">
        <f>AU11*AU14+AU12*AU15</f>
        <v>0.13694078308335678</v>
      </c>
      <c r="AV16" s="31">
        <f>AV11*AV14+AV12*AV15</f>
        <v>8.6525813286867613E-3</v>
      </c>
      <c r="AW16" s="34">
        <f>AW11*AW14+AW12*AW15</f>
        <v>-0.20489856125571915</v>
      </c>
    </row>
    <row r="17" spans="2:50" x14ac:dyDescent="0.3">
      <c r="B17" s="13"/>
      <c r="F17" s="169">
        <v>1.1000000000000001</v>
      </c>
      <c r="G17" s="26">
        <f>1-H17</f>
        <v>0</v>
      </c>
      <c r="H17" s="27">
        <v>1</v>
      </c>
      <c r="I17" s="14"/>
      <c r="L17" s="13" t="s">
        <v>175</v>
      </c>
      <c r="M17" s="164">
        <f>MIN(AB$27,AB$46,AB$65,AB$84,AB$103,AB$122,AB$141,AB$160,AB$179,AB$198)</f>
        <v>-14592440.550727844</v>
      </c>
      <c r="O17" s="164">
        <f>MIN(AM$27,AM$46,AM$65,AM$84,AM$103,AM$122,AM$141,AM$160,AM$179,AM$198)</f>
        <v>130961122.79458714</v>
      </c>
      <c r="Q17" s="163">
        <f>MIN(AX$27,AX$46,AX$65,AX$84,AX$103,AX$122,AX$141,AX$160,AX$179,AX$198)</f>
        <v>14836419.846915603</v>
      </c>
      <c r="S17" s="47"/>
      <c r="T17" s="209"/>
      <c r="AA17" s="14"/>
      <c r="AE17" s="209"/>
      <c r="AL17" s="14"/>
      <c r="AP17" s="209"/>
      <c r="AW17" s="14"/>
    </row>
    <row r="18" spans="2:50" x14ac:dyDescent="0.3">
      <c r="B18" s="13"/>
      <c r="I18" s="14"/>
      <c r="L18" s="13" t="s">
        <v>173</v>
      </c>
      <c r="M18" s="164">
        <f>AVERAGE(AB$27,AB$46,AB$65,AB$84,AB$103,AB$122,AB$141,AB$160,AB$179,AB$198)</f>
        <v>53389452.819980979</v>
      </c>
      <c r="O18" s="164">
        <f>AVERAGE(AM$27,AM$46,AM$65,AM$84,AM$103,AM$122,AM$141,AM$160,AM$179,AM$198)</f>
        <v>147466811.01801556</v>
      </c>
      <c r="Q18" s="163">
        <f>AVERAGE(AX$27,AX$46,AX$65,AX$84,AX$103,AX$122,AX$141,AX$160,AX$179,AX$198)</f>
        <v>63909571.36949642</v>
      </c>
      <c r="S18" s="47"/>
      <c r="T18" s="209"/>
      <c r="U18" t="s">
        <v>17</v>
      </c>
      <c r="V18" s="155">
        <v>3.4000000000000002E-2</v>
      </c>
      <c r="W18" s="155">
        <v>4.0500000000000001E-2</v>
      </c>
      <c r="X18" s="155">
        <v>3.0099999999999998E-2</v>
      </c>
      <c r="Y18" s="155">
        <v>2.23E-2</v>
      </c>
      <c r="Z18" s="155">
        <v>2.63E-2</v>
      </c>
      <c r="AA18" s="154">
        <v>4.9500000000000002E-2</v>
      </c>
      <c r="AE18" s="209"/>
      <c r="AF18" t="s">
        <v>17</v>
      </c>
      <c r="AG18" s="155">
        <v>3.4000000000000002E-2</v>
      </c>
      <c r="AH18" s="155">
        <v>4.0500000000000001E-2</v>
      </c>
      <c r="AI18" s="155">
        <v>3.0099999999999998E-2</v>
      </c>
      <c r="AJ18" s="155">
        <v>2.23E-2</v>
      </c>
      <c r="AK18" s="155">
        <v>2.63E-2</v>
      </c>
      <c r="AL18" s="154">
        <v>4.9500000000000002E-2</v>
      </c>
      <c r="AP18" s="209"/>
      <c r="AQ18" t="s">
        <v>17</v>
      </c>
      <c r="AR18" s="155">
        <f t="shared" ref="AR18:AW18" si="0">AG18</f>
        <v>3.4000000000000002E-2</v>
      </c>
      <c r="AS18" s="155">
        <f t="shared" si="0"/>
        <v>4.0500000000000001E-2</v>
      </c>
      <c r="AT18" s="155">
        <f t="shared" si="0"/>
        <v>3.0099999999999998E-2</v>
      </c>
      <c r="AU18" s="155">
        <f t="shared" si="0"/>
        <v>2.23E-2</v>
      </c>
      <c r="AV18" s="155">
        <f t="shared" si="0"/>
        <v>2.63E-2</v>
      </c>
      <c r="AW18" s="154">
        <f t="shared" si="0"/>
        <v>4.9500000000000002E-2</v>
      </c>
    </row>
    <row r="19" spans="2:50" x14ac:dyDescent="0.3">
      <c r="B19" s="13"/>
      <c r="I19" s="14"/>
      <c r="L19" s="13" t="s">
        <v>172</v>
      </c>
      <c r="M19" s="164">
        <f>MAX(AB$27,AB$46,AB$65,AB$84,AB$103,AB$122,AB$141,AB$160,AB$179,AB$198)</f>
        <v>95349296.037924051</v>
      </c>
      <c r="O19" s="164">
        <f>MAX(AM$27,AM$46,AM$65,AM$84,AM$103,AM$122,AM$141,AM$160,AM$179,AM$198)</f>
        <v>172311986.42203188</v>
      </c>
      <c r="Q19" s="163">
        <f>MAX(AX$27,AX$46,AX$65,AX$84,AX$103,AX$122,AX$141,AX$160,AX$179,AX$198)</f>
        <v>110873685.81788504</v>
      </c>
      <c r="T19" s="209"/>
      <c r="U19" t="s">
        <v>177</v>
      </c>
      <c r="V19" s="2" t="s">
        <v>0</v>
      </c>
      <c r="W19">
        <v>12</v>
      </c>
      <c r="X19">
        <v>12</v>
      </c>
      <c r="Y19">
        <v>12</v>
      </c>
      <c r="Z19">
        <v>12</v>
      </c>
      <c r="AA19" s="14">
        <v>12</v>
      </c>
      <c r="AE19" s="209"/>
      <c r="AF19" t="s">
        <v>177</v>
      </c>
      <c r="AG19" s="2" t="s">
        <v>0</v>
      </c>
      <c r="AH19">
        <v>12</v>
      </c>
      <c r="AI19">
        <v>12</v>
      </c>
      <c r="AJ19">
        <v>12</v>
      </c>
      <c r="AK19">
        <v>12</v>
      </c>
      <c r="AL19" s="14">
        <v>12</v>
      </c>
      <c r="AP19" s="209"/>
      <c r="AQ19" t="s">
        <v>177</v>
      </c>
      <c r="AR19" s="2" t="s">
        <v>0</v>
      </c>
      <c r="AS19">
        <v>12</v>
      </c>
      <c r="AT19">
        <v>12</v>
      </c>
      <c r="AU19">
        <v>12</v>
      </c>
      <c r="AV19">
        <v>12</v>
      </c>
      <c r="AW19" s="14">
        <v>12</v>
      </c>
    </row>
    <row r="20" spans="2:50" x14ac:dyDescent="0.3">
      <c r="B20" s="13"/>
      <c r="D20" s="4" t="s">
        <v>189</v>
      </c>
      <c r="E20" s="167" t="s">
        <v>95</v>
      </c>
      <c r="F20" s="167" t="s">
        <v>102</v>
      </c>
      <c r="G20" s="167" t="s">
        <v>93</v>
      </c>
      <c r="H20" s="167" t="s">
        <v>92</v>
      </c>
      <c r="I20" s="168" t="s">
        <v>91</v>
      </c>
      <c r="L20" s="13"/>
      <c r="Q20" s="14"/>
      <c r="S20" s="47"/>
      <c r="T20" s="209"/>
      <c r="AA20" s="14"/>
      <c r="AE20" s="209"/>
      <c r="AL20" s="14"/>
      <c r="AP20" s="209"/>
      <c r="AW20" s="14"/>
    </row>
    <row r="21" spans="2:50" x14ac:dyDescent="0.3">
      <c r="B21" s="209" t="s">
        <v>12</v>
      </c>
      <c r="C21" s="4" t="s">
        <v>18</v>
      </c>
      <c r="D21" s="153" t="s">
        <v>0</v>
      </c>
      <c r="E21" s="152">
        <v>-4.2299999999999997E-2</v>
      </c>
      <c r="F21" s="152">
        <v>0.31209999999999999</v>
      </c>
      <c r="G21" s="152">
        <v>0.1802</v>
      </c>
      <c r="H21" s="152">
        <v>0.28470000000000001</v>
      </c>
      <c r="I21" s="151">
        <v>-0.1804</v>
      </c>
      <c r="L21" s="13" t="s">
        <v>169</v>
      </c>
      <c r="M21" s="164">
        <f>_xlfn.STDEV.P(AB$27,AB$46,AB$65,AB$84,AB$103,AB$122,AB$141,AB$160,AB$179,AB$198)</f>
        <v>33466043.351183087</v>
      </c>
      <c r="O21" s="164">
        <f>_xlfn.STDEV.P(AM$27,AM$46,AM$65,AM$84,AM$103,AM$122,AM$141,AM$160,AM$179,AM$198)</f>
        <v>12823824.53295508</v>
      </c>
      <c r="Q21" s="163">
        <f>_xlfn.STDEV.P(AX$27,AX$46,AX$65,AX$84,AX$103,AX$122,AX$141,AX$160,AX$179,AX$198)</f>
        <v>30987913.076967523</v>
      </c>
      <c r="S21" s="47"/>
      <c r="T21" s="209"/>
      <c r="U21" t="s">
        <v>176</v>
      </c>
      <c r="V21" s="2" t="s">
        <v>0</v>
      </c>
      <c r="W21" s="175">
        <f>$C$10</f>
        <v>25000000</v>
      </c>
      <c r="X21" s="175">
        <f>W21</f>
        <v>25000000</v>
      </c>
      <c r="Y21" s="175">
        <f>X21</f>
        <v>25000000</v>
      </c>
      <c r="Z21" s="164">
        <f>Y21</f>
        <v>25000000</v>
      </c>
      <c r="AA21" s="163">
        <f>Z21</f>
        <v>25000000</v>
      </c>
      <c r="AB21" s="175">
        <f>SUM(W21:Y21)</f>
        <v>75000000</v>
      </c>
      <c r="AC21" s="164"/>
      <c r="AE21" s="209"/>
      <c r="AF21" t="s">
        <v>176</v>
      </c>
      <c r="AG21" s="2" t="s">
        <v>0</v>
      </c>
      <c r="AH21" s="175">
        <f>$C$10</f>
        <v>25000000</v>
      </c>
      <c r="AI21" s="175">
        <f>AH21</f>
        <v>25000000</v>
      </c>
      <c r="AJ21" s="175">
        <f>AI21</f>
        <v>25000000</v>
      </c>
      <c r="AK21" s="175">
        <f>AJ21</f>
        <v>25000000</v>
      </c>
      <c r="AL21" s="180">
        <f>AK21</f>
        <v>25000000</v>
      </c>
      <c r="AM21" s="175">
        <f>SUM(AH21:AL21)</f>
        <v>125000000</v>
      </c>
      <c r="AP21" s="209"/>
      <c r="AQ21" t="s">
        <v>176</v>
      </c>
      <c r="AR21" s="2" t="s">
        <v>0</v>
      </c>
      <c r="AS21" s="175">
        <f>$C$10</f>
        <v>25000000</v>
      </c>
      <c r="AT21" s="175">
        <f>AS21</f>
        <v>25000000</v>
      </c>
      <c r="AU21" s="175">
        <f>AT21</f>
        <v>25000000</v>
      </c>
      <c r="AV21" s="175">
        <f>AU21</f>
        <v>25000000</v>
      </c>
      <c r="AW21" s="163">
        <f>AV21</f>
        <v>25000000</v>
      </c>
      <c r="AX21" s="175">
        <f>SUM(AS21:AV21)</f>
        <v>100000000</v>
      </c>
    </row>
    <row r="22" spans="2:50" x14ac:dyDescent="0.3">
      <c r="B22" s="209"/>
      <c r="C22" s="4" t="s">
        <v>164</v>
      </c>
      <c r="D22" s="149" t="s">
        <v>0</v>
      </c>
      <c r="E22" s="148">
        <v>-3.27E-2</v>
      </c>
      <c r="F22" s="148">
        <v>0.1525</v>
      </c>
      <c r="G22" s="148">
        <v>0.106</v>
      </c>
      <c r="H22" s="148">
        <v>9.2999999999999992E-3</v>
      </c>
      <c r="I22" s="147">
        <v>-0.15140000000000001</v>
      </c>
      <c r="L22" s="13"/>
      <c r="Q22" s="14"/>
      <c r="T22" s="209"/>
      <c r="U22" t="s">
        <v>174</v>
      </c>
      <c r="V22" s="2" t="s">
        <v>0</v>
      </c>
      <c r="W22" s="17">
        <f>$C$12</f>
        <v>5000000</v>
      </c>
      <c r="X22" s="17">
        <f>$C$13</f>
        <v>5500000</v>
      </c>
      <c r="Y22" s="17">
        <f>$C$14</f>
        <v>6500000</v>
      </c>
      <c r="Z22" s="17">
        <f>$C$15</f>
        <v>7000000</v>
      </c>
      <c r="AA22" s="18">
        <f>$C$16</f>
        <v>8000000</v>
      </c>
      <c r="AE22" s="209"/>
      <c r="AF22" t="s">
        <v>174</v>
      </c>
      <c r="AG22" s="2" t="s">
        <v>0</v>
      </c>
      <c r="AH22" s="17">
        <f>$C$12</f>
        <v>5000000</v>
      </c>
      <c r="AI22" s="17">
        <f>$C$13</f>
        <v>5500000</v>
      </c>
      <c r="AJ22" s="17">
        <f>$C$14</f>
        <v>6500000</v>
      </c>
      <c r="AK22" s="17">
        <f>$C$15</f>
        <v>7000000</v>
      </c>
      <c r="AL22" s="18">
        <f>$C$16</f>
        <v>8000000</v>
      </c>
      <c r="AP22" s="209"/>
      <c r="AQ22" t="s">
        <v>174</v>
      </c>
      <c r="AR22" s="2" t="s">
        <v>0</v>
      </c>
      <c r="AS22" s="17">
        <f>$C$12</f>
        <v>5000000</v>
      </c>
      <c r="AT22" s="17">
        <f>$C$13</f>
        <v>5500000</v>
      </c>
      <c r="AU22" s="17">
        <f>$C$14</f>
        <v>6500000</v>
      </c>
      <c r="AV22" s="17">
        <f>$C$15</f>
        <v>7000000</v>
      </c>
      <c r="AW22" s="18">
        <f>$C$16</f>
        <v>8000000</v>
      </c>
    </row>
    <row r="23" spans="2:50" x14ac:dyDescent="0.3">
      <c r="B23" s="210"/>
      <c r="C23" s="4" t="s">
        <v>163</v>
      </c>
      <c r="D23" s="146" t="s">
        <v>0</v>
      </c>
      <c r="E23" s="145">
        <v>-3.7015890670377055E-2</v>
      </c>
      <c r="F23" s="145">
        <v>0.16558865018840388</v>
      </c>
      <c r="G23" s="145">
        <v>0.12252104411114238</v>
      </c>
      <c r="H23" s="145">
        <v>-2.2019354079236927E-2</v>
      </c>
      <c r="I23" s="144">
        <v>-0.20489856125571915</v>
      </c>
      <c r="L23" s="13"/>
      <c r="Q23" s="14"/>
      <c r="S23" s="47"/>
      <c r="T23" s="209"/>
      <c r="AA23" s="14"/>
      <c r="AE23" s="209"/>
      <c r="AL23" s="14"/>
      <c r="AP23" s="209"/>
      <c r="AW23" s="14"/>
    </row>
    <row r="24" spans="2:50" x14ac:dyDescent="0.3">
      <c r="B24" s="13"/>
      <c r="C24" s="4" t="s">
        <v>17</v>
      </c>
      <c r="D24" s="156">
        <v>3.4000000000000002E-2</v>
      </c>
      <c r="E24" s="155">
        <v>4.0500000000000001E-2</v>
      </c>
      <c r="F24" s="155">
        <v>3.0099999999999998E-2</v>
      </c>
      <c r="G24" s="155">
        <v>2.23E-2</v>
      </c>
      <c r="H24" s="155">
        <v>2.63E-2</v>
      </c>
      <c r="I24" s="154">
        <v>4.9500000000000002E-2</v>
      </c>
      <c r="L24" s="13"/>
      <c r="Q24" s="14"/>
      <c r="S24" s="47"/>
      <c r="T24" s="209"/>
      <c r="U24" t="s">
        <v>171</v>
      </c>
      <c r="V24" s="17">
        <f>$C$8</f>
        <v>500000000</v>
      </c>
      <c r="W24" s="7">
        <f>(V24*(1+V18)-W22*(1+V18)^0.5)*(1+W19/100)^((V18-W18)*100)</f>
        <v>475561560.34508598</v>
      </c>
      <c r="X24" s="7">
        <f>(W24*(1+W18)-X22*(1+W18)^0.5)*(1+X19/100)^((W18-X18)*100)</f>
        <v>550406344.37456203</v>
      </c>
      <c r="Y24" s="7">
        <f>(X24*(1+X18)-Y22*(1+X18)^0.5)*(1+Y19/100)^((X18-Y18)*100)</f>
        <v>612167054.56883562</v>
      </c>
      <c r="Z24" s="7">
        <f>(Y24*(1+Y18)-Z22*(1+Y18)^0.5)*(1+Z19/100)^((Y18-Z18)*100)</f>
        <v>591318569.39350569</v>
      </c>
      <c r="AA24" s="15">
        <f>(Z24*(1+Z18)-AA22*(1+Z18)^0.5)*(1+AA19/100)^((Z18-AA18)*100)</f>
        <v>460331955.08658397</v>
      </c>
      <c r="AE24" s="209"/>
      <c r="AF24" t="s">
        <v>171</v>
      </c>
      <c r="AG24" s="17">
        <f>$C$8</f>
        <v>500000000</v>
      </c>
      <c r="AH24" s="7">
        <f>(AG24*(1+AG18)-AH22*(1+AG18)^0.5)*(1+AH19/100)^((AG18-AH18)*100)</f>
        <v>475561560.34508598</v>
      </c>
      <c r="AI24" s="7">
        <f>(AH24*(1+AH18)-AI22*(1+AH18)^0.5)*(1+AI19/100)^((AH18-AI18)*100)</f>
        <v>550406344.37456203</v>
      </c>
      <c r="AJ24" s="7">
        <f>(AI24*(1+AI18)-AJ22*(1+AI18)^0.5)*(1+AJ19/100)^((AI18-AJ18)*100)</f>
        <v>612167054.56883562</v>
      </c>
      <c r="AK24" s="7">
        <f>(AJ24*(1+AJ18)-AK22*(1+AJ18)^0.5)*(1+AK19/100)^((AJ18-AK18)*100)</f>
        <v>591318569.39350569</v>
      </c>
      <c r="AL24" s="15">
        <f>(AK24*(1+AK18)-AL22*(1+AK18)^0.5)*(1+AL19/100)^((AK18-AL18)*100)</f>
        <v>460331955.08658397</v>
      </c>
      <c r="AP24" s="209"/>
      <c r="AQ24" t="s">
        <v>171</v>
      </c>
      <c r="AR24" s="17">
        <f>$C$8</f>
        <v>500000000</v>
      </c>
      <c r="AS24" s="7">
        <f>(AR24*(1+AR18)-AS22*(1+AR18)^0.5)*(1+AS19/100)^((AR18-AS18)*100)</f>
        <v>475561560.34508598</v>
      </c>
      <c r="AT24" s="7">
        <f>(AS24*(1+AS18)-AT22*(1+AS18)^0.5)*(1+AT19/100)^((AS18-AT18)*100)</f>
        <v>550406344.37456203</v>
      </c>
      <c r="AU24" s="7">
        <f>(AT24*(1+AT18)-AU22*(1+AT18)^0.5)*(1+AU19/100)^((AT18-AU18)*100)</f>
        <v>612167054.56883562</v>
      </c>
      <c r="AV24" s="7">
        <f>(AU24*(1+AU18)-AV22*(1+AU18)^0.5)*(1+AV19/100)^((AU18-AV18)*100)</f>
        <v>591318569.39350569</v>
      </c>
      <c r="AW24" s="15">
        <f>(AV24*(1+AV18)-AW22*(1+AV18)^0.5)*(1+AW19/100)^((AV18-AW18)*100)</f>
        <v>460331955.08658397</v>
      </c>
    </row>
    <row r="25" spans="2:50" x14ac:dyDescent="0.3">
      <c r="B25" s="13"/>
      <c r="D25" s="31"/>
      <c r="I25" s="14"/>
      <c r="L25" s="21" t="s">
        <v>5</v>
      </c>
      <c r="Q25" s="14"/>
      <c r="T25" s="209"/>
      <c r="U25" t="s">
        <v>170</v>
      </c>
      <c r="V25" s="7">
        <f>$C$9</f>
        <v>425000000</v>
      </c>
      <c r="W25" s="7">
        <f>V25*(1+W16)+(W21-W22)*(1+W16)^0.5</f>
        <v>428266129.20310295</v>
      </c>
      <c r="X25" s="7">
        <f>W25*(1+X16)+(X21-X22)*(1+X16)^0.5</f>
        <v>556373961.97817731</v>
      </c>
      <c r="Y25" s="7">
        <f>X25*(1+Y16)+(Y21-Y22)*(1+Y16)^0.5</f>
        <v>659962895.37164819</v>
      </c>
      <c r="Z25" s="7">
        <f>Y25*(1+Z16)+(Z21-Z22)*(1+Z16)^0.5</f>
        <v>794660534.52655029</v>
      </c>
      <c r="AA25" s="15">
        <f>Z25*(1+AA16)+(AA21-AA22)*(1+AA16)^0.5</f>
        <v>676020765.29372501</v>
      </c>
      <c r="AE25" s="209"/>
      <c r="AF25" t="s">
        <v>170</v>
      </c>
      <c r="AG25" s="7">
        <f>$C$9</f>
        <v>425000000</v>
      </c>
      <c r="AH25" s="7">
        <f>AG25*(1+AH16)+(AH21-AH22)*(1+AH16)^0.5</f>
        <v>428894597.21432096</v>
      </c>
      <c r="AI25" s="7">
        <f>AH25*(1+AI16)+(AI21-AI22)*(1+AI16)^0.5</f>
        <v>520967348.6801312</v>
      </c>
      <c r="AJ25" s="7">
        <f>AI25*(1+AJ16)+(AJ21-AJ22)*(1+AJ16)^0.5</f>
        <v>604397394.50986552</v>
      </c>
      <c r="AK25" s="7">
        <f>AJ25*(1+AK16)+(AK21-AK22)*(1+AK16)^0.5</f>
        <v>608889676.99344993</v>
      </c>
      <c r="AL25" s="15">
        <f>AK25*(1+AL16)+(AL21-AL22)*(1+AL16)^0.5</f>
        <v>499287696.53668857</v>
      </c>
      <c r="AP25" s="209"/>
      <c r="AQ25" t="s">
        <v>170</v>
      </c>
      <c r="AR25" s="7">
        <f>$C$9</f>
        <v>425000000</v>
      </c>
      <c r="AS25" s="7">
        <f>AR25*(1+AS16)+(AS21-AS22)*(1+AS16)^0.5</f>
        <v>427514814.44529098</v>
      </c>
      <c r="AT25" s="7">
        <f>AS25*(1+AT16)+(AT21-AT22)*(1+AT16)^0.5</f>
        <v>557720003.25899208</v>
      </c>
      <c r="AU25" s="7">
        <f>AT25*(1+AU16)+(AU21-AU22)*(1+AU16)^0.5</f>
        <v>653820690.93113101</v>
      </c>
      <c r="AV25" s="7">
        <f>AU25*(1+AV16)+(AV21-AV22)*(1+AV16)^0.5</f>
        <v>677555633.1394819</v>
      </c>
      <c r="AW25" s="15">
        <f>AV25*(1+AW16)+(AW21-AW22)*(1+AW16)^0.5</f>
        <v>553884097.06115019</v>
      </c>
    </row>
    <row r="26" spans="2:50" ht="16.2" x14ac:dyDescent="0.45">
      <c r="B26" s="209" t="s">
        <v>13</v>
      </c>
      <c r="C26" s="4" t="s">
        <v>18</v>
      </c>
      <c r="D26" s="153" t="s">
        <v>0</v>
      </c>
      <c r="E26" s="152">
        <v>0.21609999999999999</v>
      </c>
      <c r="F26" s="152">
        <v>-4.2299999999999997E-2</v>
      </c>
      <c r="G26" s="152">
        <v>0.31209999999999999</v>
      </c>
      <c r="H26" s="152">
        <v>0.1802</v>
      </c>
      <c r="I26" s="151">
        <v>0.28470000000000001</v>
      </c>
      <c r="L26" s="215" t="s">
        <v>204</v>
      </c>
      <c r="M26" s="188"/>
      <c r="N26" s="188"/>
      <c r="O26" s="188"/>
      <c r="P26" s="188"/>
      <c r="Q26" s="216"/>
      <c r="S26" s="47"/>
      <c r="T26" s="214"/>
      <c r="U26" s="23" t="s">
        <v>168</v>
      </c>
      <c r="V26" s="26">
        <f t="shared" ref="V26:AA26" si="1">V25/V24</f>
        <v>0.85</v>
      </c>
      <c r="W26" s="26">
        <f t="shared" si="1"/>
        <v>0.9005482463560267</v>
      </c>
      <c r="X26" s="26">
        <f t="shared" si="1"/>
        <v>1.0108422035185594</v>
      </c>
      <c r="Y26" s="179">
        <f t="shared" si="1"/>
        <v>1.0780764669481868</v>
      </c>
      <c r="Z26" s="26">
        <f t="shared" si="1"/>
        <v>1.3438788762233616</v>
      </c>
      <c r="AA26" s="27">
        <f t="shared" si="1"/>
        <v>1.4685505922928423</v>
      </c>
      <c r="AB26" s="176">
        <f>1.1*Y24-Y25</f>
        <v>13420864.654071093</v>
      </c>
      <c r="AC26" s="178"/>
      <c r="AE26" s="214"/>
      <c r="AF26" s="23" t="s">
        <v>168</v>
      </c>
      <c r="AG26" s="26">
        <f t="shared" ref="AG26:AL26" si="2">AG25/AG24</f>
        <v>0.85</v>
      </c>
      <c r="AH26" s="26">
        <f t="shared" si="2"/>
        <v>0.90186977455263273</v>
      </c>
      <c r="AI26" s="26">
        <f t="shared" si="2"/>
        <v>0.94651406911400526</v>
      </c>
      <c r="AJ26" s="26">
        <f t="shared" si="2"/>
        <v>0.9873079415153394</v>
      </c>
      <c r="AK26" s="26">
        <f t="shared" si="2"/>
        <v>1.0297151290512765</v>
      </c>
      <c r="AL26" s="45">
        <f t="shared" si="2"/>
        <v>1.0846253253106823</v>
      </c>
      <c r="AM26" s="176">
        <f>1.1*AL24-AL25</f>
        <v>7077454.0585538149</v>
      </c>
      <c r="AP26" s="214"/>
      <c r="AQ26" s="23" t="s">
        <v>168</v>
      </c>
      <c r="AR26" s="51">
        <f t="shared" ref="AR26:AW26" si="3">AR25/AR24</f>
        <v>0.85</v>
      </c>
      <c r="AS26" s="51">
        <f t="shared" si="3"/>
        <v>0.89896839882321355</v>
      </c>
      <c r="AT26" s="51">
        <f t="shared" si="3"/>
        <v>1.0132877445167183</v>
      </c>
      <c r="AU26" s="51">
        <f t="shared" si="3"/>
        <v>1.0680429239885068</v>
      </c>
      <c r="AV26" s="177">
        <f t="shared" si="3"/>
        <v>1.1458385855097135</v>
      </c>
      <c r="AW26" s="50">
        <f t="shared" si="3"/>
        <v>1.2032275642410486</v>
      </c>
      <c r="AX26" s="176">
        <f>1.1*AV24-AV25</f>
        <v>-27105206.806625605</v>
      </c>
    </row>
    <row r="27" spans="2:50" x14ac:dyDescent="0.3">
      <c r="B27" s="209"/>
      <c r="C27" s="4" t="s">
        <v>164</v>
      </c>
      <c r="D27" s="149" t="s">
        <v>0</v>
      </c>
      <c r="E27" s="148">
        <v>9.2299999999999993E-2</v>
      </c>
      <c r="F27" s="148">
        <v>-3.27E-2</v>
      </c>
      <c r="G27" s="148">
        <v>0.1525</v>
      </c>
      <c r="H27" s="148">
        <v>0.106</v>
      </c>
      <c r="I27" s="147">
        <v>9.2999999999999992E-3</v>
      </c>
      <c r="L27" s="215"/>
      <c r="M27" s="188"/>
      <c r="N27" s="188"/>
      <c r="O27" s="188"/>
      <c r="P27" s="188"/>
      <c r="Q27" s="216"/>
      <c r="S27" s="47"/>
      <c r="T27" s="4"/>
      <c r="U27" s="4"/>
      <c r="AB27" s="175">
        <f>AB21+AB26</f>
        <v>88420864.654071093</v>
      </c>
      <c r="AC27" s="164"/>
      <c r="AE27" s="4"/>
      <c r="AF27" s="4"/>
      <c r="AM27" s="175">
        <f>AM21+AM26</f>
        <v>132077454.05855381</v>
      </c>
      <c r="AP27" s="4"/>
      <c r="AQ27" s="4"/>
      <c r="AX27" s="175">
        <f>AX21+AX26</f>
        <v>72894793.193374395</v>
      </c>
    </row>
    <row r="28" spans="2:50" x14ac:dyDescent="0.3">
      <c r="B28" s="210"/>
      <c r="C28" s="4" t="s">
        <v>163</v>
      </c>
      <c r="D28" s="146" t="s">
        <v>0</v>
      </c>
      <c r="E28" s="145">
        <v>8.9528786541844152E-2</v>
      </c>
      <c r="F28" s="145">
        <v>-3.7015890670377055E-2</v>
      </c>
      <c r="G28" s="145">
        <v>0.16558865018840388</v>
      </c>
      <c r="H28" s="145">
        <v>0.12252104411114238</v>
      </c>
      <c r="I28" s="144">
        <v>-2.2019354079236927E-2</v>
      </c>
      <c r="L28" s="215"/>
      <c r="M28" s="188"/>
      <c r="N28" s="188"/>
      <c r="O28" s="188"/>
      <c r="P28" s="188"/>
      <c r="Q28" s="216"/>
      <c r="T28" s="4"/>
      <c r="U28" s="4"/>
      <c r="V28" s="2"/>
      <c r="W28" s="164"/>
      <c r="X28" s="164"/>
      <c r="Y28" s="164"/>
      <c r="Z28" s="164"/>
      <c r="AA28" s="164"/>
      <c r="AE28" s="4"/>
      <c r="AF28" s="4"/>
      <c r="AG28" s="2"/>
      <c r="AH28" s="164"/>
      <c r="AI28" s="164"/>
      <c r="AJ28" s="164"/>
      <c r="AK28" s="164"/>
      <c r="AL28" s="164"/>
      <c r="AP28" s="4"/>
      <c r="AQ28" s="4"/>
      <c r="AR28" s="2"/>
      <c r="AS28" s="164"/>
      <c r="AT28" s="164"/>
      <c r="AU28" s="164"/>
      <c r="AV28" s="164"/>
      <c r="AW28" s="164"/>
    </row>
    <row r="29" spans="2:50" x14ac:dyDescent="0.3">
      <c r="B29" s="13"/>
      <c r="C29" s="4" t="s">
        <v>17</v>
      </c>
      <c r="D29" s="156">
        <v>3.8399999999999997E-2</v>
      </c>
      <c r="E29" s="155">
        <v>3.4000000000000002E-2</v>
      </c>
      <c r="F29" s="155">
        <v>4.0500000000000001E-2</v>
      </c>
      <c r="G29" s="155">
        <v>3.0099999999999998E-2</v>
      </c>
      <c r="H29" s="155">
        <v>2.23E-2</v>
      </c>
      <c r="I29" s="154">
        <v>2.63E-2</v>
      </c>
      <c r="L29" s="215"/>
      <c r="M29" s="188"/>
      <c r="N29" s="188"/>
      <c r="O29" s="188"/>
      <c r="P29" s="188"/>
      <c r="Q29" s="216"/>
      <c r="S29" s="47"/>
      <c r="T29" s="167"/>
      <c r="V29" s="9" t="s">
        <v>189</v>
      </c>
      <c r="W29" s="49" t="s">
        <v>95</v>
      </c>
      <c r="X29" s="49" t="s">
        <v>102</v>
      </c>
      <c r="Y29" s="49" t="s">
        <v>93</v>
      </c>
      <c r="Z29" s="49" t="s">
        <v>92</v>
      </c>
      <c r="AA29" s="49" t="s">
        <v>91</v>
      </c>
      <c r="AE29" s="167"/>
      <c r="AG29" s="9" t="s">
        <v>189</v>
      </c>
      <c r="AH29" s="49" t="s">
        <v>95</v>
      </c>
      <c r="AI29" s="49" t="s">
        <v>102</v>
      </c>
      <c r="AJ29" s="49" t="s">
        <v>93</v>
      </c>
      <c r="AK29" s="49" t="s">
        <v>92</v>
      </c>
      <c r="AL29" s="49" t="s">
        <v>91</v>
      </c>
      <c r="AP29" s="167"/>
      <c r="AR29" s="9" t="s">
        <v>189</v>
      </c>
      <c r="AS29" s="49" t="s">
        <v>95</v>
      </c>
      <c r="AT29" s="49" t="s">
        <v>102</v>
      </c>
      <c r="AU29" s="49" t="s">
        <v>93</v>
      </c>
      <c r="AV29" s="49" t="s">
        <v>92</v>
      </c>
      <c r="AW29" s="49" t="s">
        <v>91</v>
      </c>
    </row>
    <row r="30" spans="2:50" x14ac:dyDescent="0.3">
      <c r="B30" s="13"/>
      <c r="D30" s="31"/>
      <c r="I30" s="14"/>
      <c r="L30" s="215"/>
      <c r="M30" s="188"/>
      <c r="N30" s="188"/>
      <c r="O30" s="188"/>
      <c r="P30" s="188"/>
      <c r="Q30" s="216"/>
      <c r="S30" s="47"/>
      <c r="T30" s="213" t="s">
        <v>13</v>
      </c>
      <c r="U30" s="11" t="s">
        <v>188</v>
      </c>
      <c r="V30" s="165" t="s">
        <v>0</v>
      </c>
      <c r="W30" s="11">
        <f>0.6</f>
        <v>0.6</v>
      </c>
      <c r="X30" s="11">
        <f>0.6</f>
        <v>0.6</v>
      </c>
      <c r="Y30" s="11">
        <f>0.6</f>
        <v>0.6</v>
      </c>
      <c r="Z30" s="11">
        <f>0.6</f>
        <v>0.6</v>
      </c>
      <c r="AA30" s="12">
        <f>0.6</f>
        <v>0.6</v>
      </c>
      <c r="AE30" s="213" t="s">
        <v>13</v>
      </c>
      <c r="AF30" s="11" t="s">
        <v>188</v>
      </c>
      <c r="AG30" s="165" t="s">
        <v>0</v>
      </c>
      <c r="AH30" s="11">
        <v>0</v>
      </c>
      <c r="AI30" s="11">
        <v>0</v>
      </c>
      <c r="AJ30" s="11">
        <v>0</v>
      </c>
      <c r="AK30" s="11">
        <v>0</v>
      </c>
      <c r="AL30" s="12">
        <v>0</v>
      </c>
      <c r="AP30" s="213" t="s">
        <v>13</v>
      </c>
      <c r="AQ30" s="11" t="s">
        <v>188</v>
      </c>
      <c r="AR30" s="165" t="s">
        <v>0</v>
      </c>
      <c r="AS30" s="11">
        <f>VLOOKUP(AR45,$F$8:$H$17,2,TRUE)</f>
        <v>0.6</v>
      </c>
      <c r="AT30" s="11">
        <f>VLOOKUP(AS45,$F$8:$H$17,2,TRUE)</f>
        <v>0.4</v>
      </c>
      <c r="AU30" s="11">
        <f>VLOOKUP(AT45,$F$8:$H$17,2,TRUE)</f>
        <v>0.25</v>
      </c>
      <c r="AV30" s="11">
        <f>VLOOKUP(AU45,$F$8:$H$17,2,TRUE)</f>
        <v>9.9999999999999978E-2</v>
      </c>
      <c r="AW30" s="12">
        <f>VLOOKUP(AV45,$F$8:$H$17,2,TRUE)</f>
        <v>0</v>
      </c>
    </row>
    <row r="31" spans="2:50" x14ac:dyDescent="0.3">
      <c r="B31" s="209" t="s">
        <v>14</v>
      </c>
      <c r="C31" s="4" t="s">
        <v>18</v>
      </c>
      <c r="D31" s="153" t="s">
        <v>0</v>
      </c>
      <c r="E31" s="152">
        <v>0.1177</v>
      </c>
      <c r="F31" s="152">
        <v>0.21609999999999999</v>
      </c>
      <c r="G31" s="152">
        <v>-4.2299999999999997E-2</v>
      </c>
      <c r="H31" s="152">
        <v>0.31209999999999999</v>
      </c>
      <c r="I31" s="151">
        <v>0.1802</v>
      </c>
      <c r="L31" s="215"/>
      <c r="M31" s="188"/>
      <c r="N31" s="188"/>
      <c r="O31" s="188"/>
      <c r="P31" s="188"/>
      <c r="Q31" s="216"/>
      <c r="T31" s="209"/>
      <c r="U31" t="s">
        <v>186</v>
      </c>
      <c r="V31" s="2" t="s">
        <v>0</v>
      </c>
      <c r="W31">
        <f>1-W30</f>
        <v>0.4</v>
      </c>
      <c r="X31">
        <f>1-X30</f>
        <v>0.4</v>
      </c>
      <c r="Y31">
        <f>1-Y30</f>
        <v>0.4</v>
      </c>
      <c r="Z31">
        <f>1-Z30</f>
        <v>0.4</v>
      </c>
      <c r="AA31" s="14">
        <f>1-AA30</f>
        <v>0.4</v>
      </c>
      <c r="AB31" s="48"/>
      <c r="AC31" s="48"/>
      <c r="AD31" s="48"/>
      <c r="AE31" s="209"/>
      <c r="AF31" t="s">
        <v>163</v>
      </c>
      <c r="AG31" s="2" t="s">
        <v>0</v>
      </c>
      <c r="AH31">
        <f>1-AH30</f>
        <v>1</v>
      </c>
      <c r="AI31">
        <f>1-AI30</f>
        <v>1</v>
      </c>
      <c r="AJ31">
        <f>1-AJ30</f>
        <v>1</v>
      </c>
      <c r="AK31">
        <f>1-AK30</f>
        <v>1</v>
      </c>
      <c r="AL31" s="14">
        <f>1-AL30</f>
        <v>1</v>
      </c>
      <c r="AM31" s="48"/>
      <c r="AP31" s="209"/>
      <c r="AQ31" t="s">
        <v>163</v>
      </c>
      <c r="AR31" s="2" t="s">
        <v>0</v>
      </c>
      <c r="AS31">
        <f>1-AS30</f>
        <v>0.4</v>
      </c>
      <c r="AT31">
        <f>1-AT30</f>
        <v>0.6</v>
      </c>
      <c r="AU31">
        <f>1-AU30</f>
        <v>0.75</v>
      </c>
      <c r="AV31">
        <f>1-AV30</f>
        <v>0.9</v>
      </c>
      <c r="AW31" s="14">
        <f>1-AW30</f>
        <v>1</v>
      </c>
      <c r="AX31" s="48"/>
    </row>
    <row r="32" spans="2:50" x14ac:dyDescent="0.3">
      <c r="B32" s="209"/>
      <c r="C32" s="4" t="s">
        <v>164</v>
      </c>
      <c r="D32" s="149" t="s">
        <v>0</v>
      </c>
      <c r="E32" s="148">
        <v>0.1152</v>
      </c>
      <c r="F32" s="148">
        <v>9.2299999999999993E-2</v>
      </c>
      <c r="G32" s="148">
        <v>-3.27E-2</v>
      </c>
      <c r="H32" s="148">
        <v>0.1525</v>
      </c>
      <c r="I32" s="147">
        <v>0.106</v>
      </c>
      <c r="L32" s="215"/>
      <c r="M32" s="188"/>
      <c r="N32" s="188"/>
      <c r="O32" s="188"/>
      <c r="P32" s="188"/>
      <c r="Q32" s="216"/>
      <c r="S32" s="47"/>
      <c r="T32" s="209"/>
      <c r="V32" s="2"/>
      <c r="AA32" s="14"/>
      <c r="AB32" s="16"/>
      <c r="AC32" s="184"/>
      <c r="AD32" s="16"/>
      <c r="AE32" s="209"/>
      <c r="AG32" s="2"/>
      <c r="AL32" s="14"/>
      <c r="AM32" s="16"/>
      <c r="AP32" s="209"/>
      <c r="AR32" s="2"/>
      <c r="AW32" s="14"/>
      <c r="AX32" s="16"/>
    </row>
    <row r="33" spans="2:50" x14ac:dyDescent="0.3">
      <c r="B33" s="210"/>
      <c r="C33" s="4" t="s">
        <v>163</v>
      </c>
      <c r="D33" s="146" t="s">
        <v>0</v>
      </c>
      <c r="E33" s="145">
        <v>5.4541790676526578E-2</v>
      </c>
      <c r="F33" s="145">
        <v>8.9528786541844152E-2</v>
      </c>
      <c r="G33" s="145">
        <v>-3.7015890670377055E-2</v>
      </c>
      <c r="H33" s="145">
        <v>0.16558865018840388</v>
      </c>
      <c r="I33" s="144">
        <v>0.12252104411114238</v>
      </c>
      <c r="L33" s="215"/>
      <c r="M33" s="188"/>
      <c r="N33" s="188"/>
      <c r="O33" s="188"/>
      <c r="P33" s="188"/>
      <c r="Q33" s="216"/>
      <c r="S33" s="47"/>
      <c r="T33" s="209"/>
      <c r="U33" t="s">
        <v>18</v>
      </c>
      <c r="V33" s="153" t="s">
        <v>0</v>
      </c>
      <c r="W33" s="152">
        <v>0.21609999999999999</v>
      </c>
      <c r="X33" s="152">
        <v>-4.2299999999999997E-2</v>
      </c>
      <c r="Y33" s="152">
        <v>0.31209999999999999</v>
      </c>
      <c r="Z33" s="152">
        <v>0.1802</v>
      </c>
      <c r="AA33" s="151">
        <v>0.28470000000000001</v>
      </c>
      <c r="AE33" s="209"/>
      <c r="AF33" t="s">
        <v>18</v>
      </c>
      <c r="AG33" s="153" t="s">
        <v>0</v>
      </c>
      <c r="AH33" s="152">
        <v>0.21609999999999999</v>
      </c>
      <c r="AI33" s="152">
        <v>-4.2299999999999997E-2</v>
      </c>
      <c r="AJ33" s="152">
        <v>0.31209999999999999</v>
      </c>
      <c r="AK33" s="152">
        <v>0.1802</v>
      </c>
      <c r="AL33" s="151">
        <v>0.28470000000000001</v>
      </c>
      <c r="AP33" s="209"/>
      <c r="AQ33" t="s">
        <v>18</v>
      </c>
      <c r="AR33" s="153" t="s">
        <v>0</v>
      </c>
      <c r="AS33" s="152">
        <v>0.21609999999999999</v>
      </c>
      <c r="AT33" s="152">
        <v>-4.2299999999999997E-2</v>
      </c>
      <c r="AU33" s="152">
        <v>0.31209999999999999</v>
      </c>
      <c r="AV33" s="152">
        <v>0.1802</v>
      </c>
      <c r="AW33" s="151">
        <v>0.28470000000000001</v>
      </c>
    </row>
    <row r="34" spans="2:50" x14ac:dyDescent="0.3">
      <c r="B34" s="13"/>
      <c r="C34" s="4" t="s">
        <v>17</v>
      </c>
      <c r="D34" s="156">
        <v>3.9699999999999999E-2</v>
      </c>
      <c r="E34" s="155">
        <v>3.8399999999999997E-2</v>
      </c>
      <c r="F34" s="155">
        <v>3.4000000000000002E-2</v>
      </c>
      <c r="G34" s="155">
        <v>4.0500000000000001E-2</v>
      </c>
      <c r="H34" s="155">
        <v>3.0099999999999998E-2</v>
      </c>
      <c r="I34" s="154">
        <v>2.23E-2</v>
      </c>
      <c r="L34" s="215"/>
      <c r="M34" s="188"/>
      <c r="N34" s="188"/>
      <c r="O34" s="188"/>
      <c r="P34" s="188"/>
      <c r="Q34" s="216"/>
      <c r="T34" s="209"/>
      <c r="U34" t="s">
        <v>164</v>
      </c>
      <c r="V34" s="149" t="s">
        <v>0</v>
      </c>
      <c r="W34" s="148">
        <v>9.2299999999999993E-2</v>
      </c>
      <c r="X34" s="148">
        <v>-3.27E-2</v>
      </c>
      <c r="Y34" s="148">
        <v>0.1525</v>
      </c>
      <c r="Z34" s="148">
        <v>0.106</v>
      </c>
      <c r="AA34" s="147">
        <v>9.2999999999999992E-3</v>
      </c>
      <c r="AE34" s="209"/>
      <c r="AF34" t="s">
        <v>163</v>
      </c>
      <c r="AG34" s="146" t="s">
        <v>0</v>
      </c>
      <c r="AH34" s="182">
        <v>8.9528786541844152E-2</v>
      </c>
      <c r="AI34" s="182">
        <v>-3.7015890670377055E-2</v>
      </c>
      <c r="AJ34" s="182">
        <v>0.16558865018840388</v>
      </c>
      <c r="AK34" s="182">
        <v>0.12252104411114238</v>
      </c>
      <c r="AL34" s="181">
        <v>-2.2019354079236927E-2</v>
      </c>
      <c r="AP34" s="209"/>
      <c r="AQ34" t="s">
        <v>163</v>
      </c>
      <c r="AR34" s="146" t="s">
        <v>0</v>
      </c>
      <c r="AS34" s="182">
        <v>8.9528786541844152E-2</v>
      </c>
      <c r="AT34" s="182">
        <v>-3.7015890670377055E-2</v>
      </c>
      <c r="AU34" s="182">
        <v>0.16558865018840388</v>
      </c>
      <c r="AV34" s="182">
        <v>0.12252104411114238</v>
      </c>
      <c r="AW34" s="181">
        <v>-2.2019354079236927E-2</v>
      </c>
    </row>
    <row r="35" spans="2:50" x14ac:dyDescent="0.3">
      <c r="B35" s="13"/>
      <c r="D35" s="31"/>
      <c r="I35" s="14"/>
      <c r="L35" s="215"/>
      <c r="M35" s="188"/>
      <c r="N35" s="188"/>
      <c r="O35" s="188"/>
      <c r="P35" s="188"/>
      <c r="Q35" s="216"/>
      <c r="S35" s="47"/>
      <c r="T35" s="209"/>
      <c r="U35" t="s">
        <v>16</v>
      </c>
      <c r="V35" s="2" t="s">
        <v>0</v>
      </c>
      <c r="W35" s="31">
        <f>W30*W33+W31*W34</f>
        <v>0.16658000000000001</v>
      </c>
      <c r="X35" s="31">
        <f>X30*X33+X31*X34</f>
        <v>-3.8459999999999994E-2</v>
      </c>
      <c r="Y35" s="31">
        <f>Y30*Y33+Y31*Y34</f>
        <v>0.24825999999999998</v>
      </c>
      <c r="Z35" s="31">
        <f>Z30*Z33+Z31*Z34</f>
        <v>0.15051999999999999</v>
      </c>
      <c r="AA35" s="34">
        <f>AA30*AA33+AA31*AA34</f>
        <v>0.17454</v>
      </c>
      <c r="AD35" s="48"/>
      <c r="AE35" s="209"/>
      <c r="AF35" t="s">
        <v>16</v>
      </c>
      <c r="AG35" s="2" t="s">
        <v>0</v>
      </c>
      <c r="AH35" s="31">
        <f>AH30*AH33+AH31*AH34</f>
        <v>8.9528786541844152E-2</v>
      </c>
      <c r="AI35" s="31">
        <f>AI30*AI33+AI31*AI34</f>
        <v>-3.7015890670377055E-2</v>
      </c>
      <c r="AJ35" s="31">
        <f>AJ30*AJ33+AJ31*AJ34</f>
        <v>0.16558865018840388</v>
      </c>
      <c r="AK35" s="31">
        <f>AK30*AK33+AK31*AK34</f>
        <v>0.12252104411114238</v>
      </c>
      <c r="AL35" s="34">
        <f>AL30*AL33+AL31*AL34</f>
        <v>-2.2019354079236927E-2</v>
      </c>
      <c r="AP35" s="209"/>
      <c r="AQ35" t="s">
        <v>16</v>
      </c>
      <c r="AR35" s="2" t="s">
        <v>0</v>
      </c>
      <c r="AS35" s="31">
        <f>AS30*AS33+AS31*AS34</f>
        <v>0.16547151461673765</v>
      </c>
      <c r="AT35" s="31">
        <f>AT30*AT33+AT31*AT34</f>
        <v>-3.9129534402226232E-2</v>
      </c>
      <c r="AU35" s="31">
        <f>AU30*AU33+AU31*AU34</f>
        <v>0.2022164876413029</v>
      </c>
      <c r="AV35" s="31">
        <f>AV30*AV33+AV31*AV34</f>
        <v>0.12828893970002814</v>
      </c>
      <c r="AW35" s="34">
        <f>AW30*AW33+AW31*AW34</f>
        <v>-2.2019354079236927E-2</v>
      </c>
    </row>
    <row r="36" spans="2:50" x14ac:dyDescent="0.3">
      <c r="B36" s="209" t="s">
        <v>15</v>
      </c>
      <c r="C36" s="4" t="s">
        <v>18</v>
      </c>
      <c r="D36" s="153" t="s">
        <v>0</v>
      </c>
      <c r="E36" s="152">
        <v>1.38E-2</v>
      </c>
      <c r="F36" s="152">
        <v>0.1177</v>
      </c>
      <c r="G36" s="152">
        <v>0.21609999999999999</v>
      </c>
      <c r="H36" s="152">
        <v>-4.2299999999999997E-2</v>
      </c>
      <c r="I36" s="151">
        <v>0.31209999999999999</v>
      </c>
      <c r="L36" s="215"/>
      <c r="M36" s="188"/>
      <c r="N36" s="188"/>
      <c r="O36" s="188"/>
      <c r="P36" s="188"/>
      <c r="Q36" s="216"/>
      <c r="S36" s="47"/>
      <c r="T36" s="209"/>
      <c r="AA36" s="14"/>
      <c r="AD36" s="48"/>
      <c r="AE36" s="209"/>
      <c r="AL36" s="14"/>
      <c r="AP36" s="209"/>
      <c r="AW36" s="14"/>
    </row>
    <row r="37" spans="2:50" x14ac:dyDescent="0.3">
      <c r="B37" s="209"/>
      <c r="C37" s="4" t="s">
        <v>164</v>
      </c>
      <c r="D37" s="149" t="s">
        <v>0</v>
      </c>
      <c r="E37" s="148">
        <v>-1.4999999999999999E-2</v>
      </c>
      <c r="F37" s="148">
        <v>0.1152</v>
      </c>
      <c r="G37" s="148">
        <v>9.2299999999999993E-2</v>
      </c>
      <c r="H37" s="148">
        <v>-3.27E-2</v>
      </c>
      <c r="I37" s="147">
        <v>0.1525</v>
      </c>
      <c r="L37" s="215"/>
      <c r="M37" s="188"/>
      <c r="N37" s="188"/>
      <c r="O37" s="188"/>
      <c r="P37" s="188"/>
      <c r="Q37" s="216"/>
      <c r="T37" s="209"/>
      <c r="U37" t="s">
        <v>17</v>
      </c>
      <c r="V37" s="155">
        <v>3.8399999999999997E-2</v>
      </c>
      <c r="W37" s="155">
        <v>3.4000000000000002E-2</v>
      </c>
      <c r="X37" s="155">
        <v>4.0500000000000001E-2</v>
      </c>
      <c r="Y37" s="155">
        <v>3.0099999999999998E-2</v>
      </c>
      <c r="Z37" s="155">
        <v>2.23E-2</v>
      </c>
      <c r="AA37" s="154">
        <v>2.63E-2</v>
      </c>
      <c r="AD37" s="48"/>
      <c r="AE37" s="209"/>
      <c r="AF37" t="s">
        <v>17</v>
      </c>
      <c r="AG37" s="155">
        <v>3.8399999999999997E-2</v>
      </c>
      <c r="AH37" s="155">
        <v>3.4000000000000002E-2</v>
      </c>
      <c r="AI37" s="155">
        <v>4.0500000000000001E-2</v>
      </c>
      <c r="AJ37" s="155">
        <v>3.0099999999999998E-2</v>
      </c>
      <c r="AK37" s="155">
        <v>2.23E-2</v>
      </c>
      <c r="AL37" s="154">
        <v>2.63E-2</v>
      </c>
      <c r="AP37" s="209"/>
      <c r="AQ37" t="s">
        <v>17</v>
      </c>
      <c r="AR37" s="155">
        <f t="shared" ref="AR37:AW37" si="4">AG37</f>
        <v>3.8399999999999997E-2</v>
      </c>
      <c r="AS37" s="155">
        <f t="shared" si="4"/>
        <v>3.4000000000000002E-2</v>
      </c>
      <c r="AT37" s="155">
        <f t="shared" si="4"/>
        <v>4.0500000000000001E-2</v>
      </c>
      <c r="AU37" s="155">
        <f t="shared" si="4"/>
        <v>3.0099999999999998E-2</v>
      </c>
      <c r="AV37" s="155">
        <f t="shared" si="4"/>
        <v>2.23E-2</v>
      </c>
      <c r="AW37" s="154">
        <f t="shared" si="4"/>
        <v>2.63E-2</v>
      </c>
    </row>
    <row r="38" spans="2:50" x14ac:dyDescent="0.3">
      <c r="B38" s="210"/>
      <c r="C38" s="4" t="s">
        <v>163</v>
      </c>
      <c r="D38" s="146" t="s">
        <v>0</v>
      </c>
      <c r="E38" s="145">
        <v>8.8452476082614279E-4</v>
      </c>
      <c r="F38" s="145">
        <v>5.4541790676526578E-2</v>
      </c>
      <c r="G38" s="145">
        <v>8.9528786541844152E-2</v>
      </c>
      <c r="H38" s="145">
        <v>-3.7015890670377055E-2</v>
      </c>
      <c r="I38" s="144">
        <v>0.16558865018840388</v>
      </c>
      <c r="L38" s="215"/>
      <c r="M38" s="188"/>
      <c r="N38" s="188"/>
      <c r="O38" s="188"/>
      <c r="P38" s="188"/>
      <c r="Q38" s="216"/>
      <c r="S38" s="47"/>
      <c r="T38" s="209"/>
      <c r="U38" t="s">
        <v>177</v>
      </c>
      <c r="V38" s="2" t="s">
        <v>0</v>
      </c>
      <c r="W38">
        <v>12</v>
      </c>
      <c r="X38">
        <v>12</v>
      </c>
      <c r="Y38">
        <v>12</v>
      </c>
      <c r="Z38">
        <v>12</v>
      </c>
      <c r="AA38" s="14">
        <v>12</v>
      </c>
      <c r="AD38" s="48"/>
      <c r="AE38" s="209"/>
      <c r="AF38" t="s">
        <v>177</v>
      </c>
      <c r="AG38" s="2" t="s">
        <v>0</v>
      </c>
      <c r="AH38">
        <v>12</v>
      </c>
      <c r="AI38">
        <v>12</v>
      </c>
      <c r="AJ38">
        <v>12</v>
      </c>
      <c r="AK38">
        <v>12</v>
      </c>
      <c r="AL38" s="14">
        <v>12</v>
      </c>
      <c r="AP38" s="209"/>
      <c r="AQ38" t="s">
        <v>177</v>
      </c>
      <c r="AR38" s="2" t="s">
        <v>0</v>
      </c>
      <c r="AS38">
        <v>12</v>
      </c>
      <c r="AT38">
        <v>12</v>
      </c>
      <c r="AU38">
        <v>12</v>
      </c>
      <c r="AV38">
        <v>12</v>
      </c>
      <c r="AW38" s="14">
        <v>12</v>
      </c>
    </row>
    <row r="39" spans="2:50" x14ac:dyDescent="0.3">
      <c r="B39" s="13"/>
      <c r="C39" s="4" t="s">
        <v>17</v>
      </c>
      <c r="D39" s="156">
        <v>3.6499999999999998E-2</v>
      </c>
      <c r="E39" s="155">
        <v>3.9699999999999999E-2</v>
      </c>
      <c r="F39" s="155">
        <v>3.8399999999999997E-2</v>
      </c>
      <c r="G39" s="155">
        <v>3.4000000000000002E-2</v>
      </c>
      <c r="H39" s="155">
        <v>4.0500000000000001E-2</v>
      </c>
      <c r="I39" s="154">
        <v>3.0099999999999998E-2</v>
      </c>
      <c r="L39" s="215"/>
      <c r="M39" s="188"/>
      <c r="N39" s="188"/>
      <c r="O39" s="188"/>
      <c r="P39" s="188"/>
      <c r="Q39" s="216"/>
      <c r="S39" s="47"/>
      <c r="T39" s="209"/>
      <c r="AA39" s="14"/>
      <c r="AD39" s="48"/>
      <c r="AE39" s="209"/>
      <c r="AL39" s="14"/>
      <c r="AP39" s="209"/>
      <c r="AW39" s="14"/>
    </row>
    <row r="40" spans="2:50" x14ac:dyDescent="0.3">
      <c r="B40" s="13"/>
      <c r="D40" s="31"/>
      <c r="I40" s="14"/>
      <c r="L40" s="215"/>
      <c r="M40" s="188"/>
      <c r="N40" s="188"/>
      <c r="O40" s="188"/>
      <c r="P40" s="188"/>
      <c r="Q40" s="216"/>
      <c r="T40" s="209"/>
      <c r="U40" t="s">
        <v>176</v>
      </c>
      <c r="V40" s="2" t="s">
        <v>0</v>
      </c>
      <c r="W40" s="175">
        <f>$C$10</f>
        <v>25000000</v>
      </c>
      <c r="X40" s="175">
        <f>W40</f>
        <v>25000000</v>
      </c>
      <c r="Y40" s="175">
        <f>X40</f>
        <v>25000000</v>
      </c>
      <c r="Z40" s="164">
        <f>Y40</f>
        <v>25000000</v>
      </c>
      <c r="AA40" s="163">
        <f>Z40</f>
        <v>25000000</v>
      </c>
      <c r="AB40" s="175">
        <f>SUM(W40:Y40)</f>
        <v>75000000</v>
      </c>
      <c r="AC40" s="164"/>
      <c r="AD40" s="48"/>
      <c r="AE40" s="209"/>
      <c r="AF40" t="s">
        <v>176</v>
      </c>
      <c r="AG40" s="2" t="s">
        <v>0</v>
      </c>
      <c r="AH40" s="175">
        <f>$C$10</f>
        <v>25000000</v>
      </c>
      <c r="AI40" s="175">
        <f>AH40</f>
        <v>25000000</v>
      </c>
      <c r="AJ40" s="175">
        <f>AI40</f>
        <v>25000000</v>
      </c>
      <c r="AK40" s="175">
        <f>AJ40</f>
        <v>25000000</v>
      </c>
      <c r="AL40" s="180">
        <f>AK40</f>
        <v>25000000</v>
      </c>
      <c r="AM40" s="175">
        <f>SUM(AH40:AL40)</f>
        <v>125000000</v>
      </c>
      <c r="AP40" s="209"/>
      <c r="AQ40" t="s">
        <v>176</v>
      </c>
      <c r="AR40" s="2" t="s">
        <v>0</v>
      </c>
      <c r="AS40" s="175">
        <f>$C$10</f>
        <v>25000000</v>
      </c>
      <c r="AT40" s="175">
        <f>AS40</f>
        <v>25000000</v>
      </c>
      <c r="AU40" s="175">
        <f>AT40</f>
        <v>25000000</v>
      </c>
      <c r="AV40" s="175">
        <f>AU40</f>
        <v>25000000</v>
      </c>
      <c r="AW40" s="163">
        <f>AV40</f>
        <v>25000000</v>
      </c>
      <c r="AX40" s="175">
        <f>SUM(AS40:AV40)</f>
        <v>100000000</v>
      </c>
    </row>
    <row r="41" spans="2:50" x14ac:dyDescent="0.3">
      <c r="B41" s="209" t="s">
        <v>119</v>
      </c>
      <c r="C41" s="4" t="s">
        <v>18</v>
      </c>
      <c r="D41" s="153" t="s">
        <v>0</v>
      </c>
      <c r="E41" s="152">
        <v>0.13519999999999999</v>
      </c>
      <c r="F41" s="152">
        <v>1.38E-2</v>
      </c>
      <c r="G41" s="152">
        <v>0.1177</v>
      </c>
      <c r="H41" s="152">
        <v>0.21609999999999999</v>
      </c>
      <c r="I41" s="151">
        <v>-4.2299999999999997E-2</v>
      </c>
      <c r="L41" s="215"/>
      <c r="M41" s="188"/>
      <c r="N41" s="188"/>
      <c r="O41" s="188"/>
      <c r="P41" s="188"/>
      <c r="Q41" s="216"/>
      <c r="S41" s="47"/>
      <c r="T41" s="209"/>
      <c r="U41" t="s">
        <v>174</v>
      </c>
      <c r="V41" s="2" t="s">
        <v>0</v>
      </c>
      <c r="W41" s="17">
        <f>$C$12</f>
        <v>5000000</v>
      </c>
      <c r="X41" s="17">
        <f>$C$13</f>
        <v>5500000</v>
      </c>
      <c r="Y41" s="17">
        <f>$C$14</f>
        <v>6500000</v>
      </c>
      <c r="Z41" s="17">
        <f>$C$15</f>
        <v>7000000</v>
      </c>
      <c r="AA41" s="18">
        <f>$C$16</f>
        <v>8000000</v>
      </c>
      <c r="AD41" s="48"/>
      <c r="AE41" s="209"/>
      <c r="AF41" t="s">
        <v>174</v>
      </c>
      <c r="AG41" s="2" t="s">
        <v>0</v>
      </c>
      <c r="AH41" s="17">
        <f>$C$12</f>
        <v>5000000</v>
      </c>
      <c r="AI41" s="17">
        <f>$C$13</f>
        <v>5500000</v>
      </c>
      <c r="AJ41" s="17">
        <f>$C$14</f>
        <v>6500000</v>
      </c>
      <c r="AK41" s="17">
        <f>$C$15</f>
        <v>7000000</v>
      </c>
      <c r="AL41" s="18">
        <f>$C$16</f>
        <v>8000000</v>
      </c>
      <c r="AP41" s="209"/>
      <c r="AQ41" t="s">
        <v>174</v>
      </c>
      <c r="AR41" s="2" t="s">
        <v>0</v>
      </c>
      <c r="AS41" s="17">
        <f>$C$12</f>
        <v>5000000</v>
      </c>
      <c r="AT41" s="17">
        <f>$C$13</f>
        <v>5500000</v>
      </c>
      <c r="AU41" s="17">
        <f>$C$14</f>
        <v>6500000</v>
      </c>
      <c r="AV41" s="17">
        <f>$C$15</f>
        <v>7000000</v>
      </c>
      <c r="AW41" s="18">
        <f>$C$16</f>
        <v>8000000</v>
      </c>
    </row>
    <row r="42" spans="2:50" x14ac:dyDescent="0.3">
      <c r="B42" s="209"/>
      <c r="C42" s="4" t="s">
        <v>164</v>
      </c>
      <c r="D42" s="149" t="s">
        <v>0</v>
      </c>
      <c r="E42" s="148">
        <v>0.10780000000000001</v>
      </c>
      <c r="F42" s="148">
        <v>-1.4999999999999999E-2</v>
      </c>
      <c r="G42" s="148">
        <v>0.1152</v>
      </c>
      <c r="H42" s="148">
        <v>9.2299999999999993E-2</v>
      </c>
      <c r="I42" s="147">
        <v>-3.27E-2</v>
      </c>
      <c r="L42" s="215"/>
      <c r="M42" s="188"/>
      <c r="N42" s="188"/>
      <c r="O42" s="188"/>
      <c r="P42" s="188"/>
      <c r="Q42" s="216"/>
      <c r="S42" s="47"/>
      <c r="T42" s="209"/>
      <c r="AA42" s="14"/>
      <c r="AD42" s="48"/>
      <c r="AE42" s="209"/>
      <c r="AL42" s="14"/>
      <c r="AP42" s="209"/>
      <c r="AW42" s="14"/>
    </row>
    <row r="43" spans="2:50" x14ac:dyDescent="0.3">
      <c r="B43" s="210"/>
      <c r="C43" s="4" t="s">
        <v>163</v>
      </c>
      <c r="D43" s="146" t="s">
        <v>0</v>
      </c>
      <c r="E43" s="145">
        <v>0.14612169449722551</v>
      </c>
      <c r="F43" s="145">
        <v>8.8452476082614279E-4</v>
      </c>
      <c r="G43" s="145">
        <v>5.4541790676526578E-2</v>
      </c>
      <c r="H43" s="145">
        <v>8.9528786541844152E-2</v>
      </c>
      <c r="I43" s="144">
        <v>-3.7015890670377055E-2</v>
      </c>
      <c r="L43" s="215"/>
      <c r="M43" s="188"/>
      <c r="N43" s="188"/>
      <c r="O43" s="188"/>
      <c r="P43" s="188"/>
      <c r="Q43" s="216"/>
      <c r="T43" s="209"/>
      <c r="U43" t="s">
        <v>171</v>
      </c>
      <c r="V43" s="17">
        <f>$C$8</f>
        <v>500000000</v>
      </c>
      <c r="W43" s="7">
        <f>(V43*(1+V37)-W41*(1+V37)^0.5)*(1+W38/100)^((V37-W37)*100)</f>
        <v>540390464.23189127</v>
      </c>
      <c r="X43" s="7">
        <f>(W43*(1+W37)-X41*(1+W37)^0.5)*(1+X38/100)^((W37-X37)*100)</f>
        <v>513887088.74808216</v>
      </c>
      <c r="Y43" s="7">
        <f>(X43*(1+X37)-Y41*(1+X37)^0.5)*(1+Y38/100)^((X37-Y37)*100)</f>
        <v>594124660.30923164</v>
      </c>
      <c r="Z43" s="7">
        <f>(Y43*(1+Y37)-Z41*(1+Y37)^0.5)*(1+Z38/100)^((Y37-Z37)*100)</f>
        <v>660809032.99479294</v>
      </c>
      <c r="AA43" s="15">
        <f>(Z43*(1+Z37)-AA41*(1+Z37)^0.5)*(1+AA38/100)^((Z37-AA37)*100)</f>
        <v>637875131.22352898</v>
      </c>
      <c r="AD43" s="48"/>
      <c r="AE43" s="209"/>
      <c r="AF43" t="s">
        <v>171</v>
      </c>
      <c r="AG43" s="17">
        <f>$C$8</f>
        <v>500000000</v>
      </c>
      <c r="AH43" s="7">
        <f>(AG43*(1+AG37)-AH41*(1+AG37)^0.5)*(1+AH38/100)^((AG37-AH37)*100)</f>
        <v>540390464.23189127</v>
      </c>
      <c r="AI43" s="7">
        <f>(AH43*(1+AH37)-AI41*(1+AH37)^0.5)*(1+AI38/100)^((AH37-AI37)*100)</f>
        <v>513887088.74808216</v>
      </c>
      <c r="AJ43" s="7">
        <f>(AI43*(1+AI37)-AJ41*(1+AI37)^0.5)*(1+AJ38/100)^((AI37-AJ37)*100)</f>
        <v>594124660.30923164</v>
      </c>
      <c r="AK43" s="7">
        <f>(AJ43*(1+AJ37)-AK41*(1+AJ37)^0.5)*(1+AK38/100)^((AJ37-AK37)*100)</f>
        <v>660809032.99479294</v>
      </c>
      <c r="AL43" s="15">
        <f>(AK43*(1+AK37)-AL41*(1+AK37)^0.5)*(1+AL38/100)^((AK37-AL37)*100)</f>
        <v>637875131.22352898</v>
      </c>
      <c r="AP43" s="209"/>
      <c r="AQ43" t="s">
        <v>171</v>
      </c>
      <c r="AR43" s="17">
        <f>$C$8</f>
        <v>500000000</v>
      </c>
      <c r="AS43" s="7">
        <f>(AR43*(1+AR37)-AS41*(1+AR37)^0.5)*(1+AS38/100)^((AR37-AS37)*100)</f>
        <v>540390464.23189127</v>
      </c>
      <c r="AT43" s="7">
        <f>(AS43*(1+AS37)-AT41*(1+AS37)^0.5)*(1+AT38/100)^((AS37-AT37)*100)</f>
        <v>513887088.74808216</v>
      </c>
      <c r="AU43" s="7">
        <f>(AT43*(1+AT37)-AU41*(1+AT37)^0.5)*(1+AU38/100)^((AT37-AU37)*100)</f>
        <v>594124660.30923164</v>
      </c>
      <c r="AV43" s="7">
        <f>(AU43*(1+AU37)-AV41*(1+AU37)^0.5)*(1+AV38/100)^((AU37-AV37)*100)</f>
        <v>660809032.99479294</v>
      </c>
      <c r="AW43" s="15">
        <f>(AV43*(1+AV37)-AW41*(1+AV37)^0.5)*(1+AW38/100)^((AV37-AW37)*100)</f>
        <v>637875131.22352898</v>
      </c>
    </row>
    <row r="44" spans="2:50" x14ac:dyDescent="0.3">
      <c r="B44" s="13"/>
      <c r="C44" s="4" t="s">
        <v>17</v>
      </c>
      <c r="D44" s="156">
        <v>4.4999999999999998E-2</v>
      </c>
      <c r="E44" s="155">
        <v>3.6499999999999998E-2</v>
      </c>
      <c r="F44" s="155">
        <v>3.9699999999999999E-2</v>
      </c>
      <c r="G44" s="155">
        <v>3.8399999999999997E-2</v>
      </c>
      <c r="H44" s="155">
        <v>3.4000000000000002E-2</v>
      </c>
      <c r="I44" s="154">
        <v>4.0500000000000001E-2</v>
      </c>
      <c r="L44" s="215"/>
      <c r="M44" s="188"/>
      <c r="N44" s="188"/>
      <c r="O44" s="188"/>
      <c r="P44" s="188"/>
      <c r="Q44" s="216"/>
      <c r="S44" s="47"/>
      <c r="T44" s="209"/>
      <c r="U44" t="s">
        <v>170</v>
      </c>
      <c r="V44" s="7">
        <f>$C$9</f>
        <v>425000000</v>
      </c>
      <c r="W44" s="7">
        <f>V44*(1+W35)+(W40-W41)*(1+W35)^0.5</f>
        <v>517398166.60237122</v>
      </c>
      <c r="X44" s="7">
        <f>W44*(1+X35)+(X40-X41)*(1+X35)^0.5</f>
        <v>516620371.58786941</v>
      </c>
      <c r="Y44" s="7">
        <f>X44*(1+Y35)+(Y40-Y41)*(1+Y35)^0.5</f>
        <v>665545773.01127756</v>
      </c>
      <c r="Z44" s="7">
        <f>Y44*(1+Z35)+(Z40-Z41)*(1+Z35)^0.5</f>
        <v>785030935.924788</v>
      </c>
      <c r="AA44" s="15">
        <f>Z44*(1+AA35)+(AA40-AA41)*(1+AA35)^0.5</f>
        <v>940474188.91134989</v>
      </c>
      <c r="AD44" s="48"/>
      <c r="AE44" s="209"/>
      <c r="AF44" t="s">
        <v>170</v>
      </c>
      <c r="AG44" s="7">
        <f>$C$9</f>
        <v>425000000</v>
      </c>
      <c r="AH44" s="7">
        <f>AG44*(1+AH35)+(AH40-AH41)*(1+AH35)^0.5</f>
        <v>483925833.40384459</v>
      </c>
      <c r="AI44" s="7">
        <f>AH44*(1+AI35)+(AI40-AI41)*(1+AI35)^0.5</f>
        <v>485148579.64249724</v>
      </c>
      <c r="AJ44" s="7">
        <f>AI44*(1+AJ35)+(AJ40-AJ41)*(1+AJ35)^0.5</f>
        <v>585456727.81656826</v>
      </c>
      <c r="AK44" s="7">
        <f>AJ44*(1+AK35)+(AK40-AK41)*(1+AK35)^0.5</f>
        <v>676258334.24402606</v>
      </c>
      <c r="AL44" s="15">
        <f>AK44*(1+AL35)+(AL40-AL41)*(1+AL35)^0.5</f>
        <v>678179356.21125579</v>
      </c>
      <c r="AP44" s="209"/>
      <c r="AQ44" t="s">
        <v>170</v>
      </c>
      <c r="AR44" s="7">
        <f>$C$9</f>
        <v>425000000</v>
      </c>
      <c r="AS44" s="7">
        <f>AR44*(1+AS35)+(AS40-AS41)*(1+AS35)^0.5</f>
        <v>516916794.91367275</v>
      </c>
      <c r="AT44" s="7">
        <f>AS44*(1+AT35)+(AT40-AT41)*(1+AT35)^0.5</f>
        <v>515804761.48355991</v>
      </c>
      <c r="AU44" s="7">
        <f>AT44*(1+AU35)+(AU40-AU41)*(1+AU35)^0.5</f>
        <v>640393430.79854357</v>
      </c>
      <c r="AV44" s="7">
        <f>AU44*(1+AV35)+(AV40-AV41)*(1+AV35)^0.5</f>
        <v>741668595.33016217</v>
      </c>
      <c r="AW44" s="15">
        <f>AV44*(1+AW35)+(AW40-AW41)*(1+AW35)^0.5</f>
        <v>742149325.59812093</v>
      </c>
    </row>
    <row r="45" spans="2:50" ht="16.2" x14ac:dyDescent="0.45">
      <c r="B45" s="13"/>
      <c r="D45" s="31"/>
      <c r="I45" s="14"/>
      <c r="L45" s="215"/>
      <c r="M45" s="188"/>
      <c r="N45" s="188"/>
      <c r="O45" s="188"/>
      <c r="P45" s="188"/>
      <c r="Q45" s="216"/>
      <c r="S45" s="47"/>
      <c r="T45" s="214"/>
      <c r="U45" s="23" t="s">
        <v>168</v>
      </c>
      <c r="V45" s="26">
        <f t="shared" ref="V45:AA45" si="5">V44/V43</f>
        <v>0.85</v>
      </c>
      <c r="W45" s="26">
        <f t="shared" si="5"/>
        <v>0.9574524364300151</v>
      </c>
      <c r="X45" s="26">
        <f t="shared" si="5"/>
        <v>1.0053188392929777</v>
      </c>
      <c r="Y45" s="179">
        <f t="shared" si="5"/>
        <v>1.1202123350087378</v>
      </c>
      <c r="Z45" s="26">
        <f t="shared" si="5"/>
        <v>1.1879845715289639</v>
      </c>
      <c r="AA45" s="27">
        <f t="shared" si="5"/>
        <v>1.4743860402699756</v>
      </c>
      <c r="AB45" s="176">
        <f>1.1*Y43-Y44</f>
        <v>-12008646.67112267</v>
      </c>
      <c r="AC45" s="178"/>
      <c r="AD45" s="48"/>
      <c r="AE45" s="214"/>
      <c r="AF45" s="23" t="s">
        <v>168</v>
      </c>
      <c r="AG45" s="26">
        <f t="shared" ref="AG45:AL45" si="6">AG44/AG43</f>
        <v>0.85</v>
      </c>
      <c r="AH45" s="26">
        <f t="shared" si="6"/>
        <v>0.89551142263713834</v>
      </c>
      <c r="AI45" s="26">
        <f t="shared" si="6"/>
        <v>0.94407621881375359</v>
      </c>
      <c r="AJ45" s="26">
        <f t="shared" si="6"/>
        <v>0.9854105828764087</v>
      </c>
      <c r="AK45" s="26">
        <f t="shared" si="6"/>
        <v>1.0233793735827381</v>
      </c>
      <c r="AL45" s="45">
        <f t="shared" si="6"/>
        <v>1.0631851329748785</v>
      </c>
      <c r="AM45" s="176">
        <f>1.1*AL43-AL44</f>
        <v>23483288.13462615</v>
      </c>
      <c r="AP45" s="214"/>
      <c r="AQ45" s="23" t="s">
        <v>168</v>
      </c>
      <c r="AR45" s="51">
        <f t="shared" ref="AR45:AW45" si="7">AR44/AR43</f>
        <v>0.85</v>
      </c>
      <c r="AS45" s="51">
        <f t="shared" si="7"/>
        <v>0.95656165148734829</v>
      </c>
      <c r="AT45" s="51">
        <f t="shared" si="7"/>
        <v>1.0037317005573141</v>
      </c>
      <c r="AU45" s="51">
        <f t="shared" si="7"/>
        <v>1.0778772092463387</v>
      </c>
      <c r="AV45" s="177">
        <f t="shared" si="7"/>
        <v>1.1223644930652854</v>
      </c>
      <c r="AW45" s="50">
        <f t="shared" si="7"/>
        <v>1.1634711705637124</v>
      </c>
      <c r="AX45" s="176">
        <f>1.1*AV43-AV44</f>
        <v>-14778659.035889864</v>
      </c>
    </row>
    <row r="46" spans="2:50" x14ac:dyDescent="0.3">
      <c r="B46" s="209" t="s">
        <v>120</v>
      </c>
      <c r="C46" s="4" t="s">
        <v>18</v>
      </c>
      <c r="D46" s="153" t="s">
        <v>0</v>
      </c>
      <c r="E46" s="152">
        <v>0.32150000000000001</v>
      </c>
      <c r="F46" s="152">
        <v>0.13519999999999999</v>
      </c>
      <c r="G46" s="152">
        <v>1.38E-2</v>
      </c>
      <c r="H46" s="152">
        <v>0.1177</v>
      </c>
      <c r="I46" s="151">
        <v>0.21609999999999999</v>
      </c>
      <c r="L46" s="215"/>
      <c r="M46" s="188"/>
      <c r="N46" s="188"/>
      <c r="O46" s="188"/>
      <c r="P46" s="188"/>
      <c r="Q46" s="216"/>
      <c r="U46" s="48"/>
      <c r="V46" s="47"/>
      <c r="W46" s="47"/>
      <c r="X46" s="16"/>
      <c r="Y46" s="47"/>
      <c r="AA46" s="16"/>
      <c r="AB46" s="175">
        <f>AB40+AB45</f>
        <v>62991353.32887733</v>
      </c>
      <c r="AC46" s="164"/>
      <c r="AD46" s="48"/>
      <c r="AF46" s="48"/>
      <c r="AG46" s="47"/>
      <c r="AH46" s="47"/>
      <c r="AI46" s="16"/>
      <c r="AJ46" s="47"/>
      <c r="AL46" s="16"/>
      <c r="AM46" s="175">
        <f>AM40+AM45</f>
        <v>148483288.13462615</v>
      </c>
      <c r="AQ46" s="48"/>
      <c r="AR46" s="47"/>
      <c r="AS46" s="47"/>
      <c r="AT46" s="16"/>
      <c r="AU46" s="47"/>
      <c r="AW46" s="16"/>
      <c r="AX46" s="175">
        <f>AX40+AX45</f>
        <v>85221340.964110136</v>
      </c>
    </row>
    <row r="47" spans="2:50" x14ac:dyDescent="0.3">
      <c r="B47" s="209"/>
      <c r="C47" s="4" t="s">
        <v>164</v>
      </c>
      <c r="D47" s="149" t="s">
        <v>0</v>
      </c>
      <c r="E47" s="148">
        <v>-9.7999999999999997E-3</v>
      </c>
      <c r="F47" s="148">
        <v>0.10780000000000001</v>
      </c>
      <c r="G47" s="148">
        <v>-1.4999999999999999E-2</v>
      </c>
      <c r="H47" s="148">
        <v>0.1152</v>
      </c>
      <c r="I47" s="147">
        <v>9.2299999999999993E-2</v>
      </c>
      <c r="L47" s="215"/>
      <c r="M47" s="188"/>
      <c r="N47" s="188"/>
      <c r="O47" s="188"/>
      <c r="P47" s="188"/>
      <c r="Q47" s="216"/>
      <c r="S47" s="47"/>
      <c r="T47" s="47"/>
      <c r="U47" s="48"/>
      <c r="V47" s="47"/>
      <c r="W47" s="47"/>
      <c r="X47" s="16"/>
      <c r="Y47" s="47"/>
      <c r="AA47" s="16"/>
      <c r="AD47" s="48"/>
      <c r="AE47" s="47"/>
      <c r="AF47" s="48"/>
      <c r="AG47" s="47"/>
      <c r="AH47" s="47"/>
      <c r="AI47" s="16"/>
      <c r="AJ47" s="47"/>
      <c r="AL47" s="16"/>
      <c r="AP47" s="47"/>
      <c r="AQ47" s="48"/>
      <c r="AR47" s="47"/>
      <c r="AS47" s="47"/>
      <c r="AT47" s="16"/>
      <c r="AU47" s="47"/>
      <c r="AW47" s="16"/>
    </row>
    <row r="48" spans="2:50" x14ac:dyDescent="0.3">
      <c r="B48" s="210"/>
      <c r="C48" s="4" t="s">
        <v>163</v>
      </c>
      <c r="D48" s="146" t="s">
        <v>0</v>
      </c>
      <c r="E48" s="145">
        <v>-6.2089486867026575E-2</v>
      </c>
      <c r="F48" s="145">
        <v>0.14612169449722551</v>
      </c>
      <c r="G48" s="145">
        <v>8.8452476082614279E-4</v>
      </c>
      <c r="H48" s="145">
        <v>5.4541790676526578E-2</v>
      </c>
      <c r="I48" s="144">
        <v>8.9528786541844152E-2</v>
      </c>
      <c r="L48" s="215"/>
      <c r="M48" s="188"/>
      <c r="N48" s="188"/>
      <c r="O48" s="188"/>
      <c r="P48" s="188"/>
      <c r="Q48" s="216"/>
      <c r="S48" s="47"/>
      <c r="T48" s="167"/>
      <c r="V48" s="9" t="s">
        <v>189</v>
      </c>
      <c r="W48" s="49" t="s">
        <v>95</v>
      </c>
      <c r="X48" s="49" t="s">
        <v>102</v>
      </c>
      <c r="Y48" s="49" t="s">
        <v>93</v>
      </c>
      <c r="Z48" s="49" t="s">
        <v>92</v>
      </c>
      <c r="AA48" s="49" t="s">
        <v>91</v>
      </c>
      <c r="AD48" s="48"/>
      <c r="AE48" s="167"/>
      <c r="AG48" s="9" t="s">
        <v>189</v>
      </c>
      <c r="AH48" s="49" t="s">
        <v>95</v>
      </c>
      <c r="AI48" s="49" t="s">
        <v>102</v>
      </c>
      <c r="AJ48" s="49" t="s">
        <v>93</v>
      </c>
      <c r="AK48" s="49" t="s">
        <v>92</v>
      </c>
      <c r="AL48" s="49" t="s">
        <v>91</v>
      </c>
      <c r="AP48" s="167"/>
      <c r="AR48" s="9" t="s">
        <v>189</v>
      </c>
      <c r="AS48" s="49" t="s">
        <v>95</v>
      </c>
      <c r="AT48" s="49" t="s">
        <v>102</v>
      </c>
      <c r="AU48" s="49" t="s">
        <v>93</v>
      </c>
      <c r="AV48" s="49" t="s">
        <v>92</v>
      </c>
      <c r="AW48" s="49" t="s">
        <v>91</v>
      </c>
    </row>
    <row r="49" spans="2:50" x14ac:dyDescent="0.3">
      <c r="B49" s="13"/>
      <c r="C49" s="4" t="s">
        <v>17</v>
      </c>
      <c r="D49" s="156">
        <v>3.5900000000000001E-2</v>
      </c>
      <c r="E49" s="155">
        <v>4.4999999999999998E-2</v>
      </c>
      <c r="F49" s="155">
        <v>3.6499999999999998E-2</v>
      </c>
      <c r="G49" s="155">
        <v>3.9699999999999999E-2</v>
      </c>
      <c r="H49" s="155">
        <v>3.8399999999999997E-2</v>
      </c>
      <c r="I49" s="154">
        <v>3.4000000000000002E-2</v>
      </c>
      <c r="L49" s="215"/>
      <c r="M49" s="188"/>
      <c r="N49" s="188"/>
      <c r="O49" s="188"/>
      <c r="P49" s="188"/>
      <c r="Q49" s="216"/>
      <c r="T49" s="213" t="s">
        <v>14</v>
      </c>
      <c r="U49" s="11" t="s">
        <v>188</v>
      </c>
      <c r="V49" s="165" t="s">
        <v>0</v>
      </c>
      <c r="W49" s="11">
        <f>0.6</f>
        <v>0.6</v>
      </c>
      <c r="X49" s="11">
        <f>0.6</f>
        <v>0.6</v>
      </c>
      <c r="Y49" s="11">
        <f>0.6</f>
        <v>0.6</v>
      </c>
      <c r="Z49" s="11">
        <f>0.6</f>
        <v>0.6</v>
      </c>
      <c r="AA49" s="12">
        <f>0.6</f>
        <v>0.6</v>
      </c>
      <c r="AE49" s="213" t="s">
        <v>14</v>
      </c>
      <c r="AF49" s="11" t="s">
        <v>188</v>
      </c>
      <c r="AG49" s="165" t="s">
        <v>0</v>
      </c>
      <c r="AH49" s="11">
        <v>0</v>
      </c>
      <c r="AI49" s="11">
        <v>0</v>
      </c>
      <c r="AJ49" s="11">
        <v>0</v>
      </c>
      <c r="AK49" s="11">
        <v>0</v>
      </c>
      <c r="AL49" s="12">
        <v>0</v>
      </c>
      <c r="AP49" s="213" t="s">
        <v>14</v>
      </c>
      <c r="AQ49" s="11" t="s">
        <v>188</v>
      </c>
      <c r="AR49" s="165" t="s">
        <v>0</v>
      </c>
      <c r="AS49" s="11">
        <f>VLOOKUP(AR64,$F$8:$H$17,2,TRUE)</f>
        <v>0.6</v>
      </c>
      <c r="AT49" s="11">
        <f>VLOOKUP(AS64,$F$8:$H$17,2,TRUE)</f>
        <v>0.5</v>
      </c>
      <c r="AU49" s="11">
        <f>VLOOKUP(AT64,$F$8:$H$17,2,TRUE)</f>
        <v>0.25</v>
      </c>
      <c r="AV49" s="11">
        <f>VLOOKUP(AU64,$F$8:$H$17,2,TRUE)</f>
        <v>9.9999999999999978E-2</v>
      </c>
      <c r="AW49" s="12">
        <f>VLOOKUP(AV64,$F$8:$H$17,2,TRUE)</f>
        <v>0</v>
      </c>
    </row>
    <row r="50" spans="2:50" x14ac:dyDescent="0.3">
      <c r="B50" s="13"/>
      <c r="D50" s="31"/>
      <c r="I50" s="14"/>
      <c r="L50" s="215"/>
      <c r="M50" s="188"/>
      <c r="N50" s="188"/>
      <c r="O50" s="188"/>
      <c r="P50" s="188"/>
      <c r="Q50" s="216"/>
      <c r="S50" s="47"/>
      <c r="T50" s="209"/>
      <c r="U50" t="s">
        <v>186</v>
      </c>
      <c r="V50" s="2" t="s">
        <v>0</v>
      </c>
      <c r="W50">
        <f>1-W49</f>
        <v>0.4</v>
      </c>
      <c r="X50">
        <f>1-X49</f>
        <v>0.4</v>
      </c>
      <c r="Y50">
        <f>1-Y49</f>
        <v>0.4</v>
      </c>
      <c r="Z50">
        <f>1-Z49</f>
        <v>0.4</v>
      </c>
      <c r="AA50" s="14">
        <f>1-AA49</f>
        <v>0.4</v>
      </c>
      <c r="AE50" s="209"/>
      <c r="AF50" t="s">
        <v>163</v>
      </c>
      <c r="AG50" s="2" t="s">
        <v>0</v>
      </c>
      <c r="AH50">
        <f>1-AH49</f>
        <v>1</v>
      </c>
      <c r="AI50">
        <f>1-AI49</f>
        <v>1</v>
      </c>
      <c r="AJ50">
        <f>1-AJ49</f>
        <v>1</v>
      </c>
      <c r="AK50">
        <f>1-AK49</f>
        <v>1</v>
      </c>
      <c r="AL50" s="14">
        <f>1-AL49</f>
        <v>1</v>
      </c>
      <c r="AP50" s="209"/>
      <c r="AQ50" t="s">
        <v>163</v>
      </c>
      <c r="AR50" s="2" t="s">
        <v>0</v>
      </c>
      <c r="AS50">
        <f>1-AS49</f>
        <v>0.4</v>
      </c>
      <c r="AT50">
        <f>1-AT49</f>
        <v>0.5</v>
      </c>
      <c r="AU50">
        <f>1-AU49</f>
        <v>0.75</v>
      </c>
      <c r="AV50">
        <f>1-AV49</f>
        <v>0.9</v>
      </c>
      <c r="AW50" s="14">
        <f>1-AW49</f>
        <v>1</v>
      </c>
    </row>
    <row r="51" spans="2:50" x14ac:dyDescent="0.3">
      <c r="B51" s="209" t="s">
        <v>121</v>
      </c>
      <c r="C51" s="4" t="s">
        <v>18</v>
      </c>
      <c r="D51" s="153" t="s">
        <v>0</v>
      </c>
      <c r="E51" s="152">
        <v>0.15890000000000001</v>
      </c>
      <c r="F51" s="152">
        <v>0.32150000000000001</v>
      </c>
      <c r="G51" s="152">
        <v>0.13519999999999999</v>
      </c>
      <c r="H51" s="152">
        <v>1.38E-2</v>
      </c>
      <c r="I51" s="151">
        <v>0.1177</v>
      </c>
      <c r="L51" s="215"/>
      <c r="M51" s="188"/>
      <c r="N51" s="188"/>
      <c r="O51" s="188"/>
      <c r="P51" s="188"/>
      <c r="Q51" s="216"/>
      <c r="S51" s="47"/>
      <c r="T51" s="209"/>
      <c r="V51" s="2"/>
      <c r="AA51" s="14"/>
      <c r="AE51" s="209"/>
      <c r="AG51" s="2"/>
      <c r="AL51" s="14"/>
      <c r="AP51" s="209"/>
      <c r="AR51" s="2"/>
      <c r="AW51" s="14"/>
    </row>
    <row r="52" spans="2:50" x14ac:dyDescent="0.3">
      <c r="B52" s="209"/>
      <c r="C52" s="4" t="s">
        <v>164</v>
      </c>
      <c r="D52" s="149" t="s">
        <v>0</v>
      </c>
      <c r="E52" s="148">
        <v>9.3299999999999994E-2</v>
      </c>
      <c r="F52" s="148">
        <v>-9.7999999999999997E-3</v>
      </c>
      <c r="G52" s="148">
        <v>0.10780000000000001</v>
      </c>
      <c r="H52" s="148">
        <v>-1.4999999999999999E-2</v>
      </c>
      <c r="I52" s="147">
        <v>0.1152</v>
      </c>
      <c r="L52" s="215"/>
      <c r="M52" s="188"/>
      <c r="N52" s="188"/>
      <c r="O52" s="188"/>
      <c r="P52" s="188"/>
      <c r="Q52" s="216"/>
      <c r="T52" s="209"/>
      <c r="U52" t="s">
        <v>18</v>
      </c>
      <c r="V52" s="153" t="s">
        <v>0</v>
      </c>
      <c r="W52" s="152">
        <v>0.1177</v>
      </c>
      <c r="X52" s="152">
        <v>0.21609999999999999</v>
      </c>
      <c r="Y52" s="152">
        <v>-4.2299999999999997E-2</v>
      </c>
      <c r="Z52" s="152">
        <v>0.31209999999999999</v>
      </c>
      <c r="AA52" s="151">
        <v>0.1802</v>
      </c>
      <c r="AE52" s="209"/>
      <c r="AF52" t="s">
        <v>18</v>
      </c>
      <c r="AG52" s="153" t="s">
        <v>0</v>
      </c>
      <c r="AH52" s="152">
        <v>0.1177</v>
      </c>
      <c r="AI52" s="152">
        <v>0.21609999999999999</v>
      </c>
      <c r="AJ52" s="152">
        <v>-4.2299999999999997E-2</v>
      </c>
      <c r="AK52" s="152">
        <v>0.31209999999999999</v>
      </c>
      <c r="AL52" s="151">
        <v>0.1802</v>
      </c>
      <c r="AP52" s="209"/>
      <c r="AQ52" t="s">
        <v>18</v>
      </c>
      <c r="AR52" s="153" t="s">
        <v>0</v>
      </c>
      <c r="AS52" s="152">
        <v>0.1177</v>
      </c>
      <c r="AT52" s="152">
        <v>0.21609999999999999</v>
      </c>
      <c r="AU52" s="152">
        <v>-4.2299999999999997E-2</v>
      </c>
      <c r="AV52" s="152">
        <v>0.31209999999999999</v>
      </c>
      <c r="AW52" s="151">
        <v>0.1802</v>
      </c>
    </row>
    <row r="53" spans="2:50" x14ac:dyDescent="0.3">
      <c r="B53" s="210"/>
      <c r="C53" s="4" t="s">
        <v>163</v>
      </c>
      <c r="D53" s="146" t="s">
        <v>0</v>
      </c>
      <c r="E53" s="145">
        <v>9.7901845706616586E-2</v>
      </c>
      <c r="F53" s="145">
        <v>-6.2089486867026575E-2</v>
      </c>
      <c r="G53" s="145">
        <v>0.14612169449722551</v>
      </c>
      <c r="H53" s="145">
        <v>8.8452476082614279E-4</v>
      </c>
      <c r="I53" s="144">
        <v>5.4541790676526578E-2</v>
      </c>
      <c r="L53" s="215"/>
      <c r="M53" s="188"/>
      <c r="N53" s="188"/>
      <c r="O53" s="188"/>
      <c r="P53" s="188"/>
      <c r="Q53" s="216"/>
      <c r="S53" s="47"/>
      <c r="T53" s="209"/>
      <c r="U53" t="s">
        <v>164</v>
      </c>
      <c r="V53" s="149" t="s">
        <v>0</v>
      </c>
      <c r="W53" s="148">
        <v>0.1152</v>
      </c>
      <c r="X53" s="148">
        <v>9.2299999999999993E-2</v>
      </c>
      <c r="Y53" s="148">
        <v>-3.27E-2</v>
      </c>
      <c r="Z53" s="148">
        <v>0.1525</v>
      </c>
      <c r="AA53" s="147">
        <v>0.106</v>
      </c>
      <c r="AE53" s="209"/>
      <c r="AF53" t="s">
        <v>163</v>
      </c>
      <c r="AG53" s="146" t="s">
        <v>0</v>
      </c>
      <c r="AH53" s="182">
        <v>5.4541790676526578E-2</v>
      </c>
      <c r="AI53" s="182">
        <v>8.9528786541844152E-2</v>
      </c>
      <c r="AJ53" s="182">
        <v>-3.7015890670377055E-2</v>
      </c>
      <c r="AK53" s="182">
        <v>0.16558865018840388</v>
      </c>
      <c r="AL53" s="181">
        <v>0.12252104411114238</v>
      </c>
      <c r="AP53" s="209"/>
      <c r="AQ53" t="s">
        <v>163</v>
      </c>
      <c r="AR53" s="146" t="s">
        <v>0</v>
      </c>
      <c r="AS53" s="182">
        <v>5.4541790676526578E-2</v>
      </c>
      <c r="AT53" s="182">
        <v>8.9528786541844152E-2</v>
      </c>
      <c r="AU53" s="182">
        <v>-3.7015890670377055E-2</v>
      </c>
      <c r="AV53" s="182">
        <v>0.16558865018840388</v>
      </c>
      <c r="AW53" s="181">
        <v>0.12252104411114238</v>
      </c>
    </row>
    <row r="54" spans="2:50" x14ac:dyDescent="0.3">
      <c r="B54" s="13"/>
      <c r="C54" s="4" t="s">
        <v>17</v>
      </c>
      <c r="D54" s="156">
        <v>4.0800000000000003E-2</v>
      </c>
      <c r="E54" s="155">
        <v>3.5900000000000001E-2</v>
      </c>
      <c r="F54" s="155">
        <v>4.4999999999999998E-2</v>
      </c>
      <c r="G54" s="155">
        <v>3.6499999999999998E-2</v>
      </c>
      <c r="H54" s="155">
        <v>3.9699999999999999E-2</v>
      </c>
      <c r="I54" s="154">
        <v>3.8399999999999997E-2</v>
      </c>
      <c r="L54" s="215"/>
      <c r="M54" s="188"/>
      <c r="N54" s="188"/>
      <c r="O54" s="188"/>
      <c r="P54" s="188"/>
      <c r="Q54" s="216"/>
      <c r="S54" s="47"/>
      <c r="T54" s="209"/>
      <c r="U54" t="s">
        <v>16</v>
      </c>
      <c r="V54" s="2" t="s">
        <v>0</v>
      </c>
      <c r="W54" s="31">
        <f>W49*W52+W50*W53</f>
        <v>0.1167</v>
      </c>
      <c r="X54" s="31">
        <f>X49*X52+X50*X53</f>
        <v>0.16658000000000001</v>
      </c>
      <c r="Y54" s="31">
        <f>Y49*Y52+Y50*Y53</f>
        <v>-3.8459999999999994E-2</v>
      </c>
      <c r="Z54" s="31">
        <f>Z49*Z52+Z50*Z53</f>
        <v>0.24825999999999998</v>
      </c>
      <c r="AA54" s="34">
        <f>AA49*AA52+AA50*AA53</f>
        <v>0.15051999999999999</v>
      </c>
      <c r="AE54" s="209"/>
      <c r="AF54" t="s">
        <v>16</v>
      </c>
      <c r="AG54" s="2" t="s">
        <v>0</v>
      </c>
      <c r="AH54" s="31">
        <f>AH49*AH52+AH50*AH53</f>
        <v>5.4541790676526578E-2</v>
      </c>
      <c r="AI54" s="31">
        <f>AI49*AI52+AI50*AI53</f>
        <v>8.9528786541844152E-2</v>
      </c>
      <c r="AJ54" s="31">
        <f>AJ49*AJ52+AJ50*AJ53</f>
        <v>-3.7015890670377055E-2</v>
      </c>
      <c r="AK54" s="31">
        <f>AK49*AK52+AK50*AK53</f>
        <v>0.16558865018840388</v>
      </c>
      <c r="AL54" s="34">
        <f>AL49*AL52+AL50*AL53</f>
        <v>0.12252104411114238</v>
      </c>
      <c r="AP54" s="209"/>
      <c r="AQ54" t="s">
        <v>16</v>
      </c>
      <c r="AR54" s="2" t="s">
        <v>0</v>
      </c>
      <c r="AS54" s="31">
        <f>AS49*AS52+AS50*AS53</f>
        <v>9.2436716270610633E-2</v>
      </c>
      <c r="AT54" s="31">
        <f>AT49*AT52+AT50*AT53</f>
        <v>0.15281439327092206</v>
      </c>
      <c r="AU54" s="31">
        <f>AU49*AU52+AU50*AU53</f>
        <v>-3.8336918002782792E-2</v>
      </c>
      <c r="AV54" s="31">
        <f>AV49*AV52+AV50*AV53</f>
        <v>0.18023978516956349</v>
      </c>
      <c r="AW54" s="34">
        <f>AW49*AW52+AW50*AW53</f>
        <v>0.12252104411114238</v>
      </c>
    </row>
    <row r="55" spans="2:50" x14ac:dyDescent="0.3">
      <c r="B55" s="13"/>
      <c r="D55" s="31"/>
      <c r="I55" s="14"/>
      <c r="L55" s="215"/>
      <c r="M55" s="188"/>
      <c r="N55" s="188"/>
      <c r="O55" s="188"/>
      <c r="P55" s="188"/>
      <c r="Q55" s="216"/>
      <c r="T55" s="209"/>
      <c r="AA55" s="14"/>
      <c r="AE55" s="209"/>
      <c r="AL55" s="14"/>
      <c r="AP55" s="209"/>
      <c r="AW55" s="14"/>
    </row>
    <row r="56" spans="2:50" x14ac:dyDescent="0.3">
      <c r="B56" s="209" t="s">
        <v>167</v>
      </c>
      <c r="C56" s="4" t="s">
        <v>18</v>
      </c>
      <c r="D56" s="153" t="s">
        <v>0</v>
      </c>
      <c r="E56" s="152">
        <v>2.1000000000000001E-2</v>
      </c>
      <c r="F56" s="152">
        <v>0.15890000000000001</v>
      </c>
      <c r="G56" s="152">
        <v>0.32150000000000001</v>
      </c>
      <c r="H56" s="152">
        <v>0.13519999999999999</v>
      </c>
      <c r="I56" s="151">
        <v>1.38E-2</v>
      </c>
      <c r="L56" s="215"/>
      <c r="M56" s="188"/>
      <c r="N56" s="188"/>
      <c r="O56" s="188"/>
      <c r="P56" s="188"/>
      <c r="Q56" s="216"/>
      <c r="S56" s="47"/>
      <c r="T56" s="209"/>
      <c r="U56" t="s">
        <v>17</v>
      </c>
      <c r="V56" s="155">
        <v>3.9699999999999999E-2</v>
      </c>
      <c r="W56" s="155">
        <v>3.8399999999999997E-2</v>
      </c>
      <c r="X56" s="155">
        <v>3.4000000000000002E-2</v>
      </c>
      <c r="Y56" s="155">
        <v>4.0500000000000001E-2</v>
      </c>
      <c r="Z56" s="155">
        <v>3.0099999999999998E-2</v>
      </c>
      <c r="AA56" s="154">
        <v>2.23E-2</v>
      </c>
      <c r="AE56" s="209"/>
      <c r="AF56" t="s">
        <v>17</v>
      </c>
      <c r="AG56" s="155">
        <v>3.9699999999999999E-2</v>
      </c>
      <c r="AH56" s="155">
        <v>3.8399999999999997E-2</v>
      </c>
      <c r="AI56" s="155">
        <v>3.4000000000000002E-2</v>
      </c>
      <c r="AJ56" s="155">
        <v>4.0500000000000001E-2</v>
      </c>
      <c r="AK56" s="155">
        <v>3.0099999999999998E-2</v>
      </c>
      <c r="AL56" s="154">
        <v>2.23E-2</v>
      </c>
      <c r="AP56" s="209"/>
      <c r="AQ56" t="s">
        <v>17</v>
      </c>
      <c r="AR56" s="155">
        <f t="shared" ref="AR56:AW56" si="8">AG56</f>
        <v>3.9699999999999999E-2</v>
      </c>
      <c r="AS56" s="155">
        <f t="shared" si="8"/>
        <v>3.8399999999999997E-2</v>
      </c>
      <c r="AT56" s="155">
        <f t="shared" si="8"/>
        <v>3.4000000000000002E-2</v>
      </c>
      <c r="AU56" s="155">
        <f t="shared" si="8"/>
        <v>4.0500000000000001E-2</v>
      </c>
      <c r="AV56" s="155">
        <f t="shared" si="8"/>
        <v>3.0099999999999998E-2</v>
      </c>
      <c r="AW56" s="154">
        <f t="shared" si="8"/>
        <v>2.23E-2</v>
      </c>
    </row>
    <row r="57" spans="2:50" x14ac:dyDescent="0.3">
      <c r="B57" s="209"/>
      <c r="C57" s="4" t="s">
        <v>164</v>
      </c>
      <c r="D57" s="149" t="s">
        <v>0</v>
      </c>
      <c r="E57" s="148">
        <v>0.1226</v>
      </c>
      <c r="F57" s="148">
        <v>9.3299999999999994E-2</v>
      </c>
      <c r="G57" s="148">
        <v>-9.7999999999999997E-3</v>
      </c>
      <c r="H57" s="148">
        <v>0.10780000000000001</v>
      </c>
      <c r="I57" s="147">
        <v>-1.4999999999999999E-2</v>
      </c>
      <c r="L57" s="215"/>
      <c r="M57" s="188"/>
      <c r="N57" s="188"/>
      <c r="O57" s="188"/>
      <c r="P57" s="188"/>
      <c r="Q57" s="216"/>
      <c r="S57" s="47"/>
      <c r="T57" s="209"/>
      <c r="U57" t="s">
        <v>177</v>
      </c>
      <c r="V57" s="2" t="s">
        <v>0</v>
      </c>
      <c r="W57">
        <v>12</v>
      </c>
      <c r="X57">
        <v>12</v>
      </c>
      <c r="Y57">
        <v>12</v>
      </c>
      <c r="Z57">
        <v>12</v>
      </c>
      <c r="AA57" s="14">
        <v>12</v>
      </c>
      <c r="AE57" s="209"/>
      <c r="AF57" t="s">
        <v>177</v>
      </c>
      <c r="AG57" s="2" t="s">
        <v>0</v>
      </c>
      <c r="AH57">
        <v>12</v>
      </c>
      <c r="AI57">
        <v>12</v>
      </c>
      <c r="AJ57">
        <v>12</v>
      </c>
      <c r="AK57">
        <v>12</v>
      </c>
      <c r="AL57" s="14">
        <v>12</v>
      </c>
      <c r="AP57" s="209"/>
      <c r="AQ57" t="s">
        <v>177</v>
      </c>
      <c r="AR57" s="2" t="s">
        <v>0</v>
      </c>
      <c r="AS57">
        <v>12</v>
      </c>
      <c r="AT57">
        <v>12</v>
      </c>
      <c r="AU57">
        <v>12</v>
      </c>
      <c r="AV57">
        <v>12</v>
      </c>
      <c r="AW57" s="14">
        <v>12</v>
      </c>
    </row>
    <row r="58" spans="2:50" x14ac:dyDescent="0.3">
      <c r="B58" s="210"/>
      <c r="C58" s="4" t="s">
        <v>163</v>
      </c>
      <c r="D58" s="146" t="s">
        <v>0</v>
      </c>
      <c r="E58" s="145">
        <v>0.1790416387153636</v>
      </c>
      <c r="F58" s="145">
        <v>9.7901845706616586E-2</v>
      </c>
      <c r="G58" s="145">
        <v>-6.2089486867026575E-2</v>
      </c>
      <c r="H58" s="145">
        <v>0.14612169449722551</v>
      </c>
      <c r="I58" s="144">
        <v>8.8452476082614279E-4</v>
      </c>
      <c r="L58" s="215"/>
      <c r="M58" s="188"/>
      <c r="N58" s="188"/>
      <c r="O58" s="188"/>
      <c r="P58" s="188"/>
      <c r="Q58" s="216"/>
      <c r="T58" s="209"/>
      <c r="AA58" s="14"/>
      <c r="AE58" s="209"/>
      <c r="AL58" s="14"/>
      <c r="AP58" s="209"/>
      <c r="AW58" s="14"/>
    </row>
    <row r="59" spans="2:50" x14ac:dyDescent="0.3">
      <c r="B59" s="13"/>
      <c r="C59" s="4" t="s">
        <v>17</v>
      </c>
      <c r="D59" s="156">
        <v>5.1400000000000001E-2</v>
      </c>
      <c r="E59" s="155">
        <v>4.0800000000000003E-2</v>
      </c>
      <c r="F59" s="155">
        <v>3.5900000000000001E-2</v>
      </c>
      <c r="G59" s="155">
        <v>4.4999999999999998E-2</v>
      </c>
      <c r="H59" s="155">
        <v>3.6499999999999998E-2</v>
      </c>
      <c r="I59" s="154">
        <v>3.9699999999999999E-2</v>
      </c>
      <c r="L59" s="215"/>
      <c r="M59" s="188"/>
      <c r="N59" s="188"/>
      <c r="O59" s="188"/>
      <c r="P59" s="188"/>
      <c r="Q59" s="216"/>
      <c r="S59" s="47"/>
      <c r="T59" s="209"/>
      <c r="U59" t="s">
        <v>176</v>
      </c>
      <c r="V59" s="2" t="s">
        <v>0</v>
      </c>
      <c r="W59" s="175">
        <f>$C$10</f>
        <v>25000000</v>
      </c>
      <c r="X59" s="175">
        <f>W59</f>
        <v>25000000</v>
      </c>
      <c r="Y59" s="175">
        <f>X59</f>
        <v>25000000</v>
      </c>
      <c r="Z59" s="164">
        <f>Y59</f>
        <v>25000000</v>
      </c>
      <c r="AA59" s="163">
        <f>Z59</f>
        <v>25000000</v>
      </c>
      <c r="AB59" s="175">
        <f>SUM(W59:Y59)</f>
        <v>75000000</v>
      </c>
      <c r="AC59" s="164"/>
      <c r="AE59" s="209"/>
      <c r="AF59" t="s">
        <v>176</v>
      </c>
      <c r="AG59" s="2" t="s">
        <v>0</v>
      </c>
      <c r="AH59" s="175">
        <f>$C$10</f>
        <v>25000000</v>
      </c>
      <c r="AI59" s="175">
        <f>AH59</f>
        <v>25000000</v>
      </c>
      <c r="AJ59" s="175">
        <f>AI59</f>
        <v>25000000</v>
      </c>
      <c r="AK59" s="175">
        <f>AJ59</f>
        <v>25000000</v>
      </c>
      <c r="AL59" s="180">
        <f>AK59</f>
        <v>25000000</v>
      </c>
      <c r="AM59" s="175">
        <f>SUM(AH59:AL59)</f>
        <v>125000000</v>
      </c>
      <c r="AP59" s="209"/>
      <c r="AQ59" t="s">
        <v>176</v>
      </c>
      <c r="AR59" s="2" t="s">
        <v>0</v>
      </c>
      <c r="AS59" s="175">
        <f>$C$10</f>
        <v>25000000</v>
      </c>
      <c r="AT59" s="175">
        <f>AS59</f>
        <v>25000000</v>
      </c>
      <c r="AU59" s="175">
        <f>AT59</f>
        <v>25000000</v>
      </c>
      <c r="AV59" s="175">
        <f>AU59</f>
        <v>25000000</v>
      </c>
      <c r="AW59" s="163">
        <f>AV59</f>
        <v>25000000</v>
      </c>
      <c r="AX59" s="175">
        <f>SUM(AS59:AV59)</f>
        <v>100000000</v>
      </c>
    </row>
    <row r="60" spans="2:50" x14ac:dyDescent="0.3">
      <c r="B60" s="13"/>
      <c r="D60" s="31"/>
      <c r="I60" s="14"/>
      <c r="L60" s="215"/>
      <c r="M60" s="188"/>
      <c r="N60" s="188"/>
      <c r="O60" s="188"/>
      <c r="P60" s="188"/>
      <c r="Q60" s="216"/>
      <c r="S60" s="47"/>
      <c r="T60" s="209"/>
      <c r="U60" t="s">
        <v>174</v>
      </c>
      <c r="V60" s="2" t="s">
        <v>0</v>
      </c>
      <c r="W60" s="17">
        <f>$C$12</f>
        <v>5000000</v>
      </c>
      <c r="X60" s="17">
        <f>$C$13</f>
        <v>5500000</v>
      </c>
      <c r="Y60" s="17">
        <f>$C$14</f>
        <v>6500000</v>
      </c>
      <c r="Z60" s="17">
        <f>$C$15</f>
        <v>7000000</v>
      </c>
      <c r="AA60" s="18">
        <f>$C$16</f>
        <v>8000000</v>
      </c>
      <c r="AE60" s="209"/>
      <c r="AF60" t="s">
        <v>174</v>
      </c>
      <c r="AG60" s="2" t="s">
        <v>0</v>
      </c>
      <c r="AH60" s="17">
        <f>$C$12</f>
        <v>5000000</v>
      </c>
      <c r="AI60" s="17">
        <f>$C$13</f>
        <v>5500000</v>
      </c>
      <c r="AJ60" s="17">
        <f>$C$14</f>
        <v>6500000</v>
      </c>
      <c r="AK60" s="17">
        <f>$C$15</f>
        <v>7000000</v>
      </c>
      <c r="AL60" s="18">
        <f>$C$16</f>
        <v>8000000</v>
      </c>
      <c r="AP60" s="209"/>
      <c r="AQ60" t="s">
        <v>174</v>
      </c>
      <c r="AR60" s="2" t="s">
        <v>0</v>
      </c>
      <c r="AS60" s="17">
        <f>$C$12</f>
        <v>5000000</v>
      </c>
      <c r="AT60" s="17">
        <f>$C$13</f>
        <v>5500000</v>
      </c>
      <c r="AU60" s="17">
        <f>$C$14</f>
        <v>6500000</v>
      </c>
      <c r="AV60" s="17">
        <f>$C$15</f>
        <v>7000000</v>
      </c>
      <c r="AW60" s="18">
        <f>$C$16</f>
        <v>8000000</v>
      </c>
    </row>
    <row r="61" spans="2:50" x14ac:dyDescent="0.3">
      <c r="B61" s="209" t="s">
        <v>166</v>
      </c>
      <c r="C61" s="4" t="s">
        <v>18</v>
      </c>
      <c r="D61" s="153" t="s">
        <v>0</v>
      </c>
      <c r="E61" s="152">
        <v>0.1482</v>
      </c>
      <c r="F61" s="152">
        <v>2.1000000000000001E-2</v>
      </c>
      <c r="G61" s="152">
        <v>0.15890000000000001</v>
      </c>
      <c r="H61" s="152">
        <v>0.32150000000000001</v>
      </c>
      <c r="I61" s="151">
        <v>0.13519999999999999</v>
      </c>
      <c r="L61" s="215"/>
      <c r="M61" s="188"/>
      <c r="N61" s="188"/>
      <c r="O61" s="188"/>
      <c r="P61" s="188"/>
      <c r="Q61" s="216"/>
      <c r="T61" s="209"/>
      <c r="AA61" s="14"/>
      <c r="AE61" s="209"/>
      <c r="AL61" s="14"/>
      <c r="AP61" s="209"/>
      <c r="AW61" s="14"/>
    </row>
    <row r="62" spans="2:50" x14ac:dyDescent="0.3">
      <c r="B62" s="209"/>
      <c r="C62" s="4" t="s">
        <v>164</v>
      </c>
      <c r="D62" s="149" t="s">
        <v>0</v>
      </c>
      <c r="E62" s="148">
        <v>9.4100000000000003E-2</v>
      </c>
      <c r="F62" s="148">
        <v>0.1226</v>
      </c>
      <c r="G62" s="148">
        <v>9.3299999999999994E-2</v>
      </c>
      <c r="H62" s="148">
        <v>-9.7999999999999997E-3</v>
      </c>
      <c r="I62" s="147">
        <v>0.10780000000000001</v>
      </c>
      <c r="L62" s="215"/>
      <c r="M62" s="188"/>
      <c r="N62" s="188"/>
      <c r="O62" s="188"/>
      <c r="P62" s="188"/>
      <c r="Q62" s="216"/>
      <c r="S62" s="47"/>
      <c r="T62" s="209"/>
      <c r="U62" t="s">
        <v>171</v>
      </c>
      <c r="V62" s="17">
        <f>$C$8</f>
        <v>500000000</v>
      </c>
      <c r="W62" s="7">
        <f>(V62*(1+V56)-W60*(1+V56)^0.5)*(1+W57/100)^((V56-W56)*100)</f>
        <v>522391553.1938411</v>
      </c>
      <c r="X62" s="7">
        <f>(W62*(1+W56)-X60*(1+W56)^0.5)*(1+X57/100)^((W56-X56)*100)</f>
        <v>564295108.19093442</v>
      </c>
      <c r="Y62" s="7">
        <f>(X62*(1+X56)-Y60*(1+X56)^0.5)*(1+Y57/100)^((X56-Y56)*100)</f>
        <v>535904517.45837253</v>
      </c>
      <c r="Z62" s="7">
        <f>(Y62*(1+Y56)-Z60*(1+Y56)^0.5)*(1+Z57/100)^((Y56-Z56)*100)</f>
        <v>619325644.81638134</v>
      </c>
      <c r="AA62" s="15">
        <f>(Z62*(1+Z56)-AA60*(1+Z56)^0.5)*(1+AA57/100)^((Z56-AA56)*100)</f>
        <v>688059034.29511428</v>
      </c>
      <c r="AE62" s="209"/>
      <c r="AF62" t="s">
        <v>171</v>
      </c>
      <c r="AG62" s="17">
        <f>$C$8</f>
        <v>500000000</v>
      </c>
      <c r="AH62" s="7">
        <f>(AG62*(1+AG56)-AH60*(1+AG56)^0.5)*(1+AH57/100)^((AG56-AH56)*100)</f>
        <v>522391553.1938411</v>
      </c>
      <c r="AI62" s="7">
        <f>(AH62*(1+AH56)-AI60*(1+AH56)^0.5)*(1+AI57/100)^((AH56-AI56)*100)</f>
        <v>564295108.19093442</v>
      </c>
      <c r="AJ62" s="7">
        <f>(AI62*(1+AI56)-AJ60*(1+AI56)^0.5)*(1+AJ57/100)^((AI56-AJ56)*100)</f>
        <v>535904517.45837253</v>
      </c>
      <c r="AK62" s="7">
        <f>(AJ62*(1+AJ56)-AK60*(1+AJ56)^0.5)*(1+AK57/100)^((AJ56-AK56)*100)</f>
        <v>619325644.81638134</v>
      </c>
      <c r="AL62" s="15">
        <f>(AK62*(1+AK56)-AL60*(1+AK56)^0.5)*(1+AL57/100)^((AK56-AL56)*100)</f>
        <v>688059034.29511428</v>
      </c>
      <c r="AP62" s="209"/>
      <c r="AQ62" t="s">
        <v>171</v>
      </c>
      <c r="AR62" s="17">
        <f>$C$8</f>
        <v>500000000</v>
      </c>
      <c r="AS62" s="7">
        <f>(AR62*(1+AR56)-AS60*(1+AR56)^0.5)*(1+AS57/100)^((AR56-AS56)*100)</f>
        <v>522391553.1938411</v>
      </c>
      <c r="AT62" s="7">
        <f>(AS62*(1+AS56)-AT60*(1+AS56)^0.5)*(1+AT57/100)^((AS56-AT56)*100)</f>
        <v>564295108.19093442</v>
      </c>
      <c r="AU62" s="7">
        <f>(AT62*(1+AT56)-AU60*(1+AT56)^0.5)*(1+AU57/100)^((AT56-AU56)*100)</f>
        <v>535904517.45837253</v>
      </c>
      <c r="AV62" s="7">
        <f>(AU62*(1+AU56)-AV60*(1+AU56)^0.5)*(1+AV57/100)^((AU56-AV56)*100)</f>
        <v>619325644.81638134</v>
      </c>
      <c r="AW62" s="15">
        <f>(AV62*(1+AV56)-AW60*(1+AV56)^0.5)*(1+AW57/100)^((AV56-AW56)*100)</f>
        <v>688059034.29511428</v>
      </c>
    </row>
    <row r="63" spans="2:50" x14ac:dyDescent="0.3">
      <c r="B63" s="210"/>
      <c r="C63" s="4" t="s">
        <v>163</v>
      </c>
      <c r="D63" s="146" t="s">
        <v>0</v>
      </c>
      <c r="E63" s="145">
        <v>0.11730196105616943</v>
      </c>
      <c r="F63" s="145">
        <v>0.1790416387153636</v>
      </c>
      <c r="G63" s="145">
        <v>9.7901845706616586E-2</v>
      </c>
      <c r="H63" s="145">
        <v>-6.2089486867026575E-2</v>
      </c>
      <c r="I63" s="144">
        <v>0.14612169449722551</v>
      </c>
      <c r="L63" s="215"/>
      <c r="M63" s="188"/>
      <c r="N63" s="188"/>
      <c r="O63" s="188"/>
      <c r="P63" s="188"/>
      <c r="Q63" s="216"/>
      <c r="S63" s="47"/>
      <c r="T63" s="209"/>
      <c r="U63" t="s">
        <v>170</v>
      </c>
      <c r="V63" s="7">
        <f>$C$9</f>
        <v>425000000</v>
      </c>
      <c r="W63" s="7">
        <f>V63*(1+W54)+(W59-W60)*(1+W54)^0.5</f>
        <v>495732305.4166581</v>
      </c>
      <c r="X63" s="7">
        <f>W63*(1+X54)+(X59-X60)*(1+X54)^0.5</f>
        <v>599373017.79027689</v>
      </c>
      <c r="Y63" s="7">
        <f>X63*(1+Y54)+(Y59-Y60)*(1+Y54)^0.5</f>
        <v>594461888.53893304</v>
      </c>
      <c r="Z63" s="7">
        <f>Y63*(1+Z54)+(Z59-Z60)*(1+Z54)^0.5</f>
        <v>762153597.17755818</v>
      </c>
      <c r="AA63" s="15">
        <f>Z63*(1+AA54)+(AA59-AA60)*(1+AA54)^0.5</f>
        <v>895107546.8312521</v>
      </c>
      <c r="AE63" s="209"/>
      <c r="AF63" t="s">
        <v>170</v>
      </c>
      <c r="AG63" s="7">
        <f>$C$9</f>
        <v>425000000</v>
      </c>
      <c r="AH63" s="7">
        <f>AG63*(1+AH54)+(AH59-AH60)*(1+AH54)^0.5</f>
        <v>468718438.08103502</v>
      </c>
      <c r="AI63" s="7">
        <f>AH63*(1+AI54)+(AI59-AI60)*(1+AI54)^0.5</f>
        <v>531036427.71769041</v>
      </c>
      <c r="AJ63" s="7">
        <f>AI63*(1+AJ54)+(AJ59-AJ60)*(1+AJ54)^0.5</f>
        <v>529534015.81034368</v>
      </c>
      <c r="AK63" s="7">
        <f>AJ63*(1+AK54)+(AK59-AK60)*(1+AK54)^0.5</f>
        <v>636652076.29260039</v>
      </c>
      <c r="AL63" s="15">
        <f>AK63*(1+AL54)+(AL59-AL60)*(1+AL54)^0.5</f>
        <v>732666699.33267105</v>
      </c>
      <c r="AP63" s="209"/>
      <c r="AQ63" t="s">
        <v>170</v>
      </c>
      <c r="AR63" s="7">
        <f>$C$9</f>
        <v>425000000</v>
      </c>
      <c r="AS63" s="7">
        <f>AR63*(1+AS54)+(AS59-AS60)*(1+AS54)^0.5</f>
        <v>485189543.91234457</v>
      </c>
      <c r="AT63" s="7">
        <f>AS63*(1+AT54)+(AT59-AT60)*(1+AT54)^0.5</f>
        <v>580270482.6188637</v>
      </c>
      <c r="AU63" s="7">
        <f>AT63*(1+AU54)+(AU59-AU60)*(1+AU54)^0.5</f>
        <v>576166618.73744297</v>
      </c>
      <c r="AV63" s="7">
        <f>AU63*(1+AV54)+(AV59-AV60)*(1+AV54)^0.5</f>
        <v>699569757.76506543</v>
      </c>
      <c r="AW63" s="15">
        <f>AV63*(1+AW54)+(AW59-AW60)*(1+AW54)^0.5</f>
        <v>803293120.83219481</v>
      </c>
    </row>
    <row r="64" spans="2:50" ht="16.2" x14ac:dyDescent="0.45">
      <c r="B64" s="13"/>
      <c r="C64" s="4" t="s">
        <v>17</v>
      </c>
      <c r="D64" s="156">
        <v>5.6599999999999998E-2</v>
      </c>
      <c r="E64" s="155">
        <v>5.1400000000000001E-2</v>
      </c>
      <c r="F64" s="155">
        <v>4.0800000000000003E-2</v>
      </c>
      <c r="G64" s="155">
        <v>3.5900000000000001E-2</v>
      </c>
      <c r="H64" s="155">
        <v>4.4999999999999998E-2</v>
      </c>
      <c r="I64" s="154">
        <v>3.6499999999999998E-2</v>
      </c>
      <c r="L64" s="217"/>
      <c r="M64" s="218"/>
      <c r="N64" s="218"/>
      <c r="O64" s="218"/>
      <c r="P64" s="218"/>
      <c r="Q64" s="219"/>
      <c r="T64" s="214"/>
      <c r="U64" s="23" t="s">
        <v>168</v>
      </c>
      <c r="V64" s="26">
        <f t="shared" ref="V64:AA64" si="9">V63/V62</f>
        <v>0.85</v>
      </c>
      <c r="W64" s="26">
        <f t="shared" si="9"/>
        <v>0.94896692411239914</v>
      </c>
      <c r="X64" s="26">
        <f t="shared" si="9"/>
        <v>1.062162349256931</v>
      </c>
      <c r="Y64" s="179">
        <f t="shared" si="9"/>
        <v>1.1092682915947039</v>
      </c>
      <c r="Z64" s="26">
        <f t="shared" si="9"/>
        <v>1.2306185018440867</v>
      </c>
      <c r="AA64" s="27">
        <f t="shared" si="9"/>
        <v>1.3009167850666328</v>
      </c>
      <c r="AB64" s="176">
        <f>1.1*Y62-Y63</f>
        <v>-4966919.3347232342</v>
      </c>
      <c r="AC64" s="178"/>
      <c r="AE64" s="214"/>
      <c r="AF64" s="23" t="s">
        <v>168</v>
      </c>
      <c r="AG64" s="26">
        <f t="shared" ref="AG64:AL64" si="10">AG63/AG62</f>
        <v>0.85</v>
      </c>
      <c r="AH64" s="26">
        <f t="shared" si="10"/>
        <v>0.89725500960983207</v>
      </c>
      <c r="AI64" s="26">
        <f t="shared" si="10"/>
        <v>0.94106154742353243</v>
      </c>
      <c r="AJ64" s="26">
        <f t="shared" si="10"/>
        <v>0.98811261812413498</v>
      </c>
      <c r="AK64" s="26">
        <f t="shared" si="10"/>
        <v>1.0279762861771307</v>
      </c>
      <c r="AL64" s="45">
        <f t="shared" si="10"/>
        <v>1.0648311595577773</v>
      </c>
      <c r="AM64" s="176">
        <f>1.1*AL62-AL63</f>
        <v>24198238.39195478</v>
      </c>
      <c r="AP64" s="214"/>
      <c r="AQ64" s="23" t="s">
        <v>168</v>
      </c>
      <c r="AR64" s="51">
        <f t="shared" ref="AR64:AW64" si="11">AR63/AR62</f>
        <v>0.85</v>
      </c>
      <c r="AS64" s="51">
        <f t="shared" si="11"/>
        <v>0.92878520134169906</v>
      </c>
      <c r="AT64" s="51">
        <f t="shared" si="11"/>
        <v>1.0283103188314791</v>
      </c>
      <c r="AU64" s="51">
        <f t="shared" si="11"/>
        <v>1.0751292440489604</v>
      </c>
      <c r="AV64" s="177">
        <f t="shared" si="11"/>
        <v>1.1295669146277239</v>
      </c>
      <c r="AW64" s="50">
        <f t="shared" si="11"/>
        <v>1.1674770343726868</v>
      </c>
      <c r="AX64" s="176">
        <f>1.1*AV62-AV63</f>
        <v>-18311548.467045903</v>
      </c>
    </row>
    <row r="65" spans="2:50" x14ac:dyDescent="0.3">
      <c r="B65" s="13"/>
      <c r="D65" s="31"/>
      <c r="I65" s="14"/>
      <c r="S65" s="47"/>
      <c r="T65" s="47"/>
      <c r="AB65" s="175">
        <f>AB59+AB64</f>
        <v>70033080.665276766</v>
      </c>
      <c r="AC65" s="164"/>
      <c r="AE65" s="47"/>
      <c r="AM65" s="175">
        <f>AM59+AM64</f>
        <v>149198238.39195478</v>
      </c>
      <c r="AP65" s="47"/>
      <c r="AX65" s="175">
        <f>AX59+AX64</f>
        <v>81688451.532954097</v>
      </c>
    </row>
    <row r="66" spans="2:50" x14ac:dyDescent="0.3">
      <c r="B66" s="209" t="s">
        <v>165</v>
      </c>
      <c r="C66" s="4" t="s">
        <v>18</v>
      </c>
      <c r="D66" s="153" t="s">
        <v>0</v>
      </c>
      <c r="E66" s="152">
        <v>0.25940000000000002</v>
      </c>
      <c r="F66" s="152">
        <v>0.1482</v>
      </c>
      <c r="G66" s="152">
        <v>2.1000000000000001E-2</v>
      </c>
      <c r="H66" s="152">
        <v>0.15890000000000001</v>
      </c>
      <c r="I66" s="151">
        <v>0.32150000000000001</v>
      </c>
      <c r="S66" s="47"/>
      <c r="T66" s="47"/>
      <c r="AE66" s="47"/>
      <c r="AP66" s="47"/>
    </row>
    <row r="67" spans="2:50" x14ac:dyDescent="0.3">
      <c r="B67" s="209"/>
      <c r="C67" s="4" t="s">
        <v>164</v>
      </c>
      <c r="D67" s="149" t="s">
        <v>0</v>
      </c>
      <c r="E67" s="148">
        <v>0.2021</v>
      </c>
      <c r="F67" s="148">
        <v>9.4100000000000003E-2</v>
      </c>
      <c r="G67" s="148">
        <v>0.1226</v>
      </c>
      <c r="H67" s="148">
        <v>9.3299999999999994E-2</v>
      </c>
      <c r="I67" s="147">
        <v>-9.7999999999999997E-3</v>
      </c>
      <c r="T67" s="167"/>
      <c r="V67" s="9" t="s">
        <v>189</v>
      </c>
      <c r="W67" s="49" t="s">
        <v>95</v>
      </c>
      <c r="X67" s="49" t="s">
        <v>102</v>
      </c>
      <c r="Y67" s="49" t="s">
        <v>93</v>
      </c>
      <c r="Z67" s="49" t="s">
        <v>92</v>
      </c>
      <c r="AA67" s="49" t="s">
        <v>91</v>
      </c>
      <c r="AE67" s="167"/>
      <c r="AG67" s="9" t="s">
        <v>189</v>
      </c>
      <c r="AH67" s="49" t="s">
        <v>95</v>
      </c>
      <c r="AI67" s="49" t="s">
        <v>102</v>
      </c>
      <c r="AJ67" s="49" t="s">
        <v>93</v>
      </c>
      <c r="AK67" s="49" t="s">
        <v>92</v>
      </c>
      <c r="AL67" s="49" t="s">
        <v>91</v>
      </c>
      <c r="AP67" s="167"/>
      <c r="AR67" s="9" t="s">
        <v>189</v>
      </c>
      <c r="AS67" s="49" t="s">
        <v>95</v>
      </c>
      <c r="AT67" s="49" t="s">
        <v>102</v>
      </c>
      <c r="AU67" s="49" t="s">
        <v>93</v>
      </c>
      <c r="AV67" s="49" t="s">
        <v>92</v>
      </c>
      <c r="AW67" s="49" t="s">
        <v>91</v>
      </c>
    </row>
    <row r="68" spans="2:50" x14ac:dyDescent="0.3">
      <c r="B68" s="210"/>
      <c r="C68" s="4" t="s">
        <v>163</v>
      </c>
      <c r="D68" s="146" t="s">
        <v>0</v>
      </c>
      <c r="E68" s="145">
        <v>4.19E-2</v>
      </c>
      <c r="F68" s="145">
        <v>0.11730196105616943</v>
      </c>
      <c r="G68" s="145">
        <v>0.1790416387153636</v>
      </c>
      <c r="H68" s="145">
        <v>9.7901845706616586E-2</v>
      </c>
      <c r="I68" s="144">
        <v>-6.2089486867026575E-2</v>
      </c>
      <c r="S68" s="47"/>
      <c r="T68" s="213" t="s">
        <v>15</v>
      </c>
      <c r="U68" s="11" t="s">
        <v>188</v>
      </c>
      <c r="V68" s="165" t="s">
        <v>0</v>
      </c>
      <c r="W68" s="11">
        <f>0.6</f>
        <v>0.6</v>
      </c>
      <c r="X68" s="11">
        <f>0.6</f>
        <v>0.6</v>
      </c>
      <c r="Y68" s="11">
        <f>0.6</f>
        <v>0.6</v>
      </c>
      <c r="Z68" s="11">
        <f>0.6</f>
        <v>0.6</v>
      </c>
      <c r="AA68" s="12">
        <f>0.6</f>
        <v>0.6</v>
      </c>
      <c r="AE68" s="213" t="s">
        <v>15</v>
      </c>
      <c r="AF68" s="11" t="s">
        <v>188</v>
      </c>
      <c r="AG68" s="165" t="s">
        <v>0</v>
      </c>
      <c r="AH68" s="11">
        <v>0</v>
      </c>
      <c r="AI68" s="11">
        <v>0</v>
      </c>
      <c r="AJ68" s="11">
        <v>0</v>
      </c>
      <c r="AK68" s="11">
        <v>0</v>
      </c>
      <c r="AL68" s="12">
        <v>0</v>
      </c>
      <c r="AP68" s="213" t="s">
        <v>15</v>
      </c>
      <c r="AQ68" s="11" t="s">
        <v>188</v>
      </c>
      <c r="AR68" s="165" t="s">
        <v>0</v>
      </c>
      <c r="AS68" s="11">
        <f>VLOOKUP(AR83,$F$8:$H$17,2,TRUE)</f>
        <v>0.6</v>
      </c>
      <c r="AT68" s="11">
        <f>VLOOKUP(AS83,$F$8:$H$17,2,TRUE)</f>
        <v>0.5</v>
      </c>
      <c r="AU68" s="11">
        <f>VLOOKUP(AT83,$F$8:$H$17,2,TRUE)</f>
        <v>0.4</v>
      </c>
      <c r="AV68" s="11">
        <f>VLOOKUP(AU83,$F$8:$H$17,2,TRUE)</f>
        <v>9.9999999999999978E-2</v>
      </c>
      <c r="AW68" s="12">
        <f>VLOOKUP(AV83,$F$8:$H$17,2,TRUE)</f>
        <v>0</v>
      </c>
    </row>
    <row r="69" spans="2:50" x14ac:dyDescent="0.3">
      <c r="B69" s="22"/>
      <c r="C69" s="143" t="s">
        <v>17</v>
      </c>
      <c r="D69" s="142">
        <v>5.5399999999999998E-2</v>
      </c>
      <c r="E69" s="141">
        <v>5.6599999999999998E-2</v>
      </c>
      <c r="F69" s="141">
        <v>5.1400000000000001E-2</v>
      </c>
      <c r="G69" s="141">
        <v>4.0800000000000003E-2</v>
      </c>
      <c r="H69" s="141">
        <v>3.5900000000000001E-2</v>
      </c>
      <c r="I69" s="140">
        <v>4.4999999999999998E-2</v>
      </c>
      <c r="S69" s="47"/>
      <c r="T69" s="209"/>
      <c r="U69" t="s">
        <v>186</v>
      </c>
      <c r="V69" s="2" t="s">
        <v>0</v>
      </c>
      <c r="W69">
        <f>1-W68</f>
        <v>0.4</v>
      </c>
      <c r="X69">
        <f>1-X68</f>
        <v>0.4</v>
      </c>
      <c r="Y69">
        <f>1-Y68</f>
        <v>0.4</v>
      </c>
      <c r="Z69">
        <f>1-Z68</f>
        <v>0.4</v>
      </c>
      <c r="AA69" s="14">
        <f>1-AA68</f>
        <v>0.4</v>
      </c>
      <c r="AE69" s="209"/>
      <c r="AF69" t="s">
        <v>163</v>
      </c>
      <c r="AG69" s="2" t="s">
        <v>0</v>
      </c>
      <c r="AH69">
        <f>1-AH68</f>
        <v>1</v>
      </c>
      <c r="AI69">
        <f>1-AI68</f>
        <v>1</v>
      </c>
      <c r="AJ69">
        <f>1-AJ68</f>
        <v>1</v>
      </c>
      <c r="AK69">
        <f>1-AK68</f>
        <v>1</v>
      </c>
      <c r="AL69" s="14">
        <f>1-AL68</f>
        <v>1</v>
      </c>
      <c r="AP69" s="209"/>
      <c r="AQ69" t="s">
        <v>163</v>
      </c>
      <c r="AR69" s="2" t="s">
        <v>0</v>
      </c>
      <c r="AS69">
        <f>1-AS68</f>
        <v>0.4</v>
      </c>
      <c r="AT69">
        <f>1-AT68</f>
        <v>0.5</v>
      </c>
      <c r="AU69">
        <f>1-AU68</f>
        <v>0.6</v>
      </c>
      <c r="AV69">
        <f>1-AV68</f>
        <v>0.9</v>
      </c>
      <c r="AW69" s="14">
        <f>1-AW68</f>
        <v>1</v>
      </c>
    </row>
    <row r="70" spans="2:50" x14ac:dyDescent="0.3">
      <c r="T70" s="209"/>
      <c r="V70" s="2"/>
      <c r="AA70" s="14"/>
      <c r="AE70" s="209"/>
      <c r="AG70" s="2"/>
      <c r="AL70" s="14"/>
      <c r="AP70" s="209"/>
      <c r="AR70" s="2"/>
      <c r="AW70" s="14"/>
    </row>
    <row r="71" spans="2:50" x14ac:dyDescent="0.3">
      <c r="T71" s="209"/>
      <c r="U71" t="s">
        <v>18</v>
      </c>
      <c r="V71" s="153" t="s">
        <v>0</v>
      </c>
      <c r="W71" s="152">
        <v>1.38E-2</v>
      </c>
      <c r="X71" s="152">
        <v>0.1177</v>
      </c>
      <c r="Y71" s="152">
        <v>0.21609999999999999</v>
      </c>
      <c r="Z71" s="152">
        <v>-4.2299999999999997E-2</v>
      </c>
      <c r="AA71" s="151">
        <v>0.31209999999999999</v>
      </c>
      <c r="AE71" s="209"/>
      <c r="AF71" t="s">
        <v>18</v>
      </c>
      <c r="AG71" s="153" t="s">
        <v>0</v>
      </c>
      <c r="AH71" s="152">
        <v>1.38E-2</v>
      </c>
      <c r="AI71" s="152">
        <v>0.1177</v>
      </c>
      <c r="AJ71" s="152">
        <v>0.21609999999999999</v>
      </c>
      <c r="AK71" s="152">
        <v>-4.2299999999999997E-2</v>
      </c>
      <c r="AL71" s="151">
        <v>0.31209999999999999</v>
      </c>
      <c r="AP71" s="209"/>
      <c r="AQ71" t="s">
        <v>18</v>
      </c>
      <c r="AR71" s="153" t="s">
        <v>0</v>
      </c>
      <c r="AS71" s="152">
        <v>1.38E-2</v>
      </c>
      <c r="AT71" s="152">
        <v>0.1177</v>
      </c>
      <c r="AU71" s="152">
        <v>0.21609999999999999</v>
      </c>
      <c r="AV71" s="152">
        <v>-4.2299999999999997E-2</v>
      </c>
      <c r="AW71" s="151">
        <v>0.31209999999999999</v>
      </c>
    </row>
    <row r="72" spans="2:50" x14ac:dyDescent="0.3">
      <c r="T72" s="209"/>
      <c r="U72" t="s">
        <v>164</v>
      </c>
      <c r="V72" s="149" t="s">
        <v>0</v>
      </c>
      <c r="W72" s="148">
        <v>-1.4999999999999999E-2</v>
      </c>
      <c r="X72" s="148">
        <v>0.1152</v>
      </c>
      <c r="Y72" s="148">
        <v>9.2299999999999993E-2</v>
      </c>
      <c r="Z72" s="148">
        <v>-3.27E-2</v>
      </c>
      <c r="AA72" s="147">
        <v>0.1525</v>
      </c>
      <c r="AE72" s="209"/>
      <c r="AF72" t="s">
        <v>163</v>
      </c>
      <c r="AG72" s="146" t="s">
        <v>0</v>
      </c>
      <c r="AH72" s="182">
        <v>8.8452476082614279E-4</v>
      </c>
      <c r="AI72" s="182">
        <v>5.4541790676526578E-2</v>
      </c>
      <c r="AJ72" s="182">
        <v>8.9528786541844152E-2</v>
      </c>
      <c r="AK72" s="182">
        <v>-3.7015890670377055E-2</v>
      </c>
      <c r="AL72" s="181">
        <v>0.16558865018840388</v>
      </c>
      <c r="AP72" s="209"/>
      <c r="AQ72" t="s">
        <v>163</v>
      </c>
      <c r="AR72" s="146" t="s">
        <v>0</v>
      </c>
      <c r="AS72" s="182">
        <v>8.8452476082614279E-4</v>
      </c>
      <c r="AT72" s="182">
        <v>5.4541790676526578E-2</v>
      </c>
      <c r="AU72" s="182">
        <v>8.9528786541844152E-2</v>
      </c>
      <c r="AV72" s="182">
        <v>-3.7015890670377055E-2</v>
      </c>
      <c r="AW72" s="181">
        <v>0.16558865018840388</v>
      </c>
    </row>
    <row r="73" spans="2:50" x14ac:dyDescent="0.3">
      <c r="T73" s="209"/>
      <c r="U73" t="s">
        <v>16</v>
      </c>
      <c r="V73" s="2" t="s">
        <v>0</v>
      </c>
      <c r="W73" s="31">
        <f>W68*W71+W69*W72</f>
        <v>2.279999999999999E-3</v>
      </c>
      <c r="X73" s="31">
        <f>X68*X71+X69*X72</f>
        <v>0.1167</v>
      </c>
      <c r="Y73" s="31">
        <f>Y68*Y71+Y69*Y72</f>
        <v>0.16658000000000001</v>
      </c>
      <c r="Z73" s="31">
        <f>Z68*Z71+Z69*Z72</f>
        <v>-3.8459999999999994E-2</v>
      </c>
      <c r="AA73" s="34">
        <f>AA68*AA71+AA69*AA72</f>
        <v>0.24825999999999998</v>
      </c>
      <c r="AE73" s="209"/>
      <c r="AF73" t="s">
        <v>16</v>
      </c>
      <c r="AG73" s="2" t="s">
        <v>0</v>
      </c>
      <c r="AH73" s="31">
        <f>AH68*AH71+AH69*AH72</f>
        <v>8.8452476082614279E-4</v>
      </c>
      <c r="AI73" s="31">
        <f>AI68*AI71+AI69*AI72</f>
        <v>5.4541790676526578E-2</v>
      </c>
      <c r="AJ73" s="31">
        <f>AJ68*AJ71+AJ69*AJ72</f>
        <v>8.9528786541844152E-2</v>
      </c>
      <c r="AK73" s="31">
        <f>AK68*AK71+AK69*AK72</f>
        <v>-3.7015890670377055E-2</v>
      </c>
      <c r="AL73" s="34">
        <f>AL68*AL71+AL69*AL72</f>
        <v>0.16558865018840388</v>
      </c>
      <c r="AP73" s="209"/>
      <c r="AQ73" t="s">
        <v>16</v>
      </c>
      <c r="AR73" s="2" t="s">
        <v>0</v>
      </c>
      <c r="AS73" s="31">
        <f>AS68*AS71+AS69*AS72</f>
        <v>8.633809904330457E-3</v>
      </c>
      <c r="AT73" s="31">
        <f>AT68*AT71+AT69*AT72</f>
        <v>8.6120895338263281E-2</v>
      </c>
      <c r="AU73" s="31">
        <f>AU68*AU71+AU69*AU72</f>
        <v>0.14015727192510649</v>
      </c>
      <c r="AV73" s="31">
        <f>AV68*AV71+AV69*AV72</f>
        <v>-3.7544301603339346E-2</v>
      </c>
      <c r="AW73" s="34">
        <f>AW68*AW71+AW69*AW72</f>
        <v>0.16558865018840388</v>
      </c>
    </row>
    <row r="74" spans="2:50" x14ac:dyDescent="0.3">
      <c r="T74" s="209"/>
      <c r="AA74" s="14"/>
      <c r="AE74" s="209"/>
      <c r="AL74" s="14"/>
      <c r="AP74" s="209"/>
      <c r="AW74" s="14"/>
    </row>
    <row r="75" spans="2:50" x14ac:dyDescent="0.3">
      <c r="T75" s="209"/>
      <c r="U75" t="s">
        <v>17</v>
      </c>
      <c r="V75" s="155">
        <v>3.6499999999999998E-2</v>
      </c>
      <c r="W75" s="155">
        <v>3.9699999999999999E-2</v>
      </c>
      <c r="X75" s="155">
        <v>3.8399999999999997E-2</v>
      </c>
      <c r="Y75" s="155">
        <v>3.4000000000000002E-2</v>
      </c>
      <c r="Z75" s="155">
        <v>4.0500000000000001E-2</v>
      </c>
      <c r="AA75" s="154">
        <v>3.0099999999999998E-2</v>
      </c>
      <c r="AE75" s="209"/>
      <c r="AF75" t="s">
        <v>17</v>
      </c>
      <c r="AG75" s="155">
        <v>3.6499999999999998E-2</v>
      </c>
      <c r="AH75" s="155">
        <v>3.9699999999999999E-2</v>
      </c>
      <c r="AI75" s="155">
        <v>3.8399999999999997E-2</v>
      </c>
      <c r="AJ75" s="155">
        <v>3.4000000000000002E-2</v>
      </c>
      <c r="AK75" s="155">
        <v>4.0500000000000001E-2</v>
      </c>
      <c r="AL75" s="154">
        <v>3.0099999999999998E-2</v>
      </c>
      <c r="AP75" s="209"/>
      <c r="AQ75" t="s">
        <v>17</v>
      </c>
      <c r="AR75" s="155">
        <f t="shared" ref="AR75:AW75" si="12">AG75</f>
        <v>3.6499999999999998E-2</v>
      </c>
      <c r="AS75" s="155">
        <f t="shared" si="12"/>
        <v>3.9699999999999999E-2</v>
      </c>
      <c r="AT75" s="155">
        <f t="shared" si="12"/>
        <v>3.8399999999999997E-2</v>
      </c>
      <c r="AU75" s="155">
        <f t="shared" si="12"/>
        <v>3.4000000000000002E-2</v>
      </c>
      <c r="AV75" s="155">
        <f t="shared" si="12"/>
        <v>4.0500000000000001E-2</v>
      </c>
      <c r="AW75" s="154">
        <f t="shared" si="12"/>
        <v>3.0099999999999998E-2</v>
      </c>
    </row>
    <row r="76" spans="2:50" x14ac:dyDescent="0.3">
      <c r="T76" s="209"/>
      <c r="U76" t="s">
        <v>177</v>
      </c>
      <c r="V76" s="2" t="s">
        <v>0</v>
      </c>
      <c r="W76">
        <v>12</v>
      </c>
      <c r="X76">
        <v>12</v>
      </c>
      <c r="Y76">
        <v>12</v>
      </c>
      <c r="Z76">
        <v>12</v>
      </c>
      <c r="AA76" s="14">
        <v>12</v>
      </c>
      <c r="AE76" s="209"/>
      <c r="AF76" t="s">
        <v>177</v>
      </c>
      <c r="AG76" s="2" t="s">
        <v>0</v>
      </c>
      <c r="AH76">
        <v>12</v>
      </c>
      <c r="AI76">
        <v>12</v>
      </c>
      <c r="AJ76">
        <v>12</v>
      </c>
      <c r="AK76">
        <v>12</v>
      </c>
      <c r="AL76" s="14">
        <v>12</v>
      </c>
      <c r="AP76" s="209"/>
      <c r="AQ76" t="s">
        <v>177</v>
      </c>
      <c r="AR76" s="2" t="s">
        <v>0</v>
      </c>
      <c r="AS76">
        <v>12</v>
      </c>
      <c r="AT76">
        <v>12</v>
      </c>
      <c r="AU76">
        <v>12</v>
      </c>
      <c r="AV76">
        <v>12</v>
      </c>
      <c r="AW76" s="14">
        <v>12</v>
      </c>
    </row>
    <row r="77" spans="2:50" x14ac:dyDescent="0.3">
      <c r="T77" s="209"/>
      <c r="AA77" s="14"/>
      <c r="AE77" s="209"/>
      <c r="AL77" s="14"/>
      <c r="AP77" s="209"/>
      <c r="AW77" s="14"/>
    </row>
    <row r="78" spans="2:50" x14ac:dyDescent="0.3">
      <c r="T78" s="209"/>
      <c r="U78" t="s">
        <v>176</v>
      </c>
      <c r="V78" s="2" t="s">
        <v>0</v>
      </c>
      <c r="W78" s="175">
        <f>$C$10</f>
        <v>25000000</v>
      </c>
      <c r="X78" s="175">
        <f>W78</f>
        <v>25000000</v>
      </c>
      <c r="Y78" s="175">
        <f>X78</f>
        <v>25000000</v>
      </c>
      <c r="Z78" s="164">
        <f>Y78</f>
        <v>25000000</v>
      </c>
      <c r="AA78" s="163">
        <f>Z78</f>
        <v>25000000</v>
      </c>
      <c r="AB78" s="175">
        <f>SUM(W78:Y78)</f>
        <v>75000000</v>
      </c>
      <c r="AC78" s="164"/>
      <c r="AE78" s="209"/>
      <c r="AF78" t="s">
        <v>176</v>
      </c>
      <c r="AG78" s="2" t="s">
        <v>0</v>
      </c>
      <c r="AH78" s="175">
        <f>$C$10</f>
        <v>25000000</v>
      </c>
      <c r="AI78" s="175">
        <f>AH78</f>
        <v>25000000</v>
      </c>
      <c r="AJ78" s="175">
        <f>AI78</f>
        <v>25000000</v>
      </c>
      <c r="AK78" s="175">
        <f>AJ78</f>
        <v>25000000</v>
      </c>
      <c r="AL78" s="180">
        <f>AK78</f>
        <v>25000000</v>
      </c>
      <c r="AM78" s="175">
        <f>SUM(AH78:AL78)</f>
        <v>125000000</v>
      </c>
      <c r="AP78" s="209"/>
      <c r="AQ78" t="s">
        <v>176</v>
      </c>
      <c r="AR78" s="2" t="s">
        <v>0</v>
      </c>
      <c r="AS78" s="175">
        <f>$C$10</f>
        <v>25000000</v>
      </c>
      <c r="AT78" s="175">
        <f>AS78</f>
        <v>25000000</v>
      </c>
      <c r="AU78" s="175">
        <f>AT78</f>
        <v>25000000</v>
      </c>
      <c r="AV78" s="175">
        <f>AU78</f>
        <v>25000000</v>
      </c>
      <c r="AW78" s="163">
        <f>AV78</f>
        <v>25000000</v>
      </c>
      <c r="AX78" s="175">
        <f>SUM(AS78:AV78)</f>
        <v>100000000</v>
      </c>
    </row>
    <row r="79" spans="2:50" x14ac:dyDescent="0.3">
      <c r="T79" s="209"/>
      <c r="U79" t="s">
        <v>174</v>
      </c>
      <c r="V79" s="2" t="s">
        <v>0</v>
      </c>
      <c r="W79" s="17">
        <f>$C$12</f>
        <v>5000000</v>
      </c>
      <c r="X79" s="17">
        <f>$C$13</f>
        <v>5500000</v>
      </c>
      <c r="Y79" s="17">
        <f>$C$14</f>
        <v>6500000</v>
      </c>
      <c r="Z79" s="17">
        <f>$C$15</f>
        <v>7000000</v>
      </c>
      <c r="AA79" s="18">
        <f>$C$16</f>
        <v>8000000</v>
      </c>
      <c r="AE79" s="209"/>
      <c r="AF79" t="s">
        <v>174</v>
      </c>
      <c r="AG79" s="2" t="s">
        <v>0</v>
      </c>
      <c r="AH79" s="17">
        <f>$C$12</f>
        <v>5000000</v>
      </c>
      <c r="AI79" s="17">
        <f>$C$13</f>
        <v>5500000</v>
      </c>
      <c r="AJ79" s="17">
        <f>$C$14</f>
        <v>6500000</v>
      </c>
      <c r="AK79" s="17">
        <f>$C$15</f>
        <v>7000000</v>
      </c>
      <c r="AL79" s="18">
        <f>$C$16</f>
        <v>8000000</v>
      </c>
      <c r="AP79" s="209"/>
      <c r="AQ79" t="s">
        <v>174</v>
      </c>
      <c r="AR79" s="2" t="s">
        <v>0</v>
      </c>
      <c r="AS79" s="17">
        <f>$C$12</f>
        <v>5000000</v>
      </c>
      <c r="AT79" s="17">
        <f>$C$13</f>
        <v>5500000</v>
      </c>
      <c r="AU79" s="17">
        <f>$C$14</f>
        <v>6500000</v>
      </c>
      <c r="AV79" s="17">
        <f>$C$15</f>
        <v>7000000</v>
      </c>
      <c r="AW79" s="18">
        <f>$C$16</f>
        <v>8000000</v>
      </c>
    </row>
    <row r="80" spans="2:50" x14ac:dyDescent="0.3">
      <c r="T80" s="209"/>
      <c r="AA80" s="14"/>
      <c r="AE80" s="209"/>
      <c r="AL80" s="14"/>
      <c r="AP80" s="209"/>
      <c r="AW80" s="14"/>
    </row>
    <row r="81" spans="20:50" x14ac:dyDescent="0.3">
      <c r="T81" s="209"/>
      <c r="U81" t="s">
        <v>171</v>
      </c>
      <c r="V81" s="17">
        <f>$C$8</f>
        <v>500000000</v>
      </c>
      <c r="W81" s="7">
        <f>(V81*(1+V75)-W79*(1+V75)^0.5)*(1+W76/100)^((V75-W75)*100)</f>
        <v>494883145.91764432</v>
      </c>
      <c r="X81" s="7">
        <f>(W81*(1+W75)-X79*(1+W75)^0.5)*(1+X76/100)^((W75-X75)*100)</f>
        <v>516475206.61016273</v>
      </c>
      <c r="Y81" s="7">
        <f>(X81*(1+X75)-Y79*(1+X75)^0.5)*(1+Y76/100)^((X75-Y75)*100)</f>
        <v>556766342.09686267</v>
      </c>
      <c r="Z81" s="7">
        <f>(Y81*(1+Y75)-Z79*(1+Y75)^0.5)*(1+Z76/100)^((Y75-Z75)*100)</f>
        <v>528200291.4381026</v>
      </c>
      <c r="AA81" s="15">
        <f>(Z81*(1+Z75)-AA79*(1+Z75)^0.5)*(1+AA76/100)^((Z75-AA75)*100)</f>
        <v>609159010.53043544</v>
      </c>
      <c r="AE81" s="209"/>
      <c r="AF81" t="s">
        <v>171</v>
      </c>
      <c r="AG81" s="17">
        <f>$C$8</f>
        <v>500000000</v>
      </c>
      <c r="AH81" s="7">
        <f>(AG81*(1+AG75)-AH79*(1+AG75)^0.5)*(1+AH76/100)^((AG75-AH75)*100)</f>
        <v>494883145.91764432</v>
      </c>
      <c r="AI81" s="7">
        <f>(AH81*(1+AH75)-AI79*(1+AH75)^0.5)*(1+AI76/100)^((AH75-AI75)*100)</f>
        <v>516475206.61016273</v>
      </c>
      <c r="AJ81" s="7">
        <f>(AI81*(1+AI75)-AJ79*(1+AI75)^0.5)*(1+AJ76/100)^((AI75-AJ75)*100)</f>
        <v>556766342.09686267</v>
      </c>
      <c r="AK81" s="7">
        <f>(AJ81*(1+AJ75)-AK79*(1+AJ75)^0.5)*(1+AK76/100)^((AJ75-AK75)*100)</f>
        <v>528200291.4381026</v>
      </c>
      <c r="AL81" s="15">
        <f>(AK81*(1+AK75)-AL79*(1+AK75)^0.5)*(1+AL76/100)^((AK75-AL75)*100)</f>
        <v>609159010.53043544</v>
      </c>
      <c r="AP81" s="209"/>
      <c r="AQ81" t="s">
        <v>171</v>
      </c>
      <c r="AR81" s="17">
        <f>$C$8</f>
        <v>500000000</v>
      </c>
      <c r="AS81" s="7">
        <f>(AR81*(1+AR75)-AS79*(1+AR75)^0.5)*(1+AS76/100)^((AR75-AS75)*100)</f>
        <v>494883145.91764432</v>
      </c>
      <c r="AT81" s="7">
        <f>(AS81*(1+AS75)-AT79*(1+AS75)^0.5)*(1+AT76/100)^((AS75-AT75)*100)</f>
        <v>516475206.61016273</v>
      </c>
      <c r="AU81" s="7">
        <f>(AT81*(1+AT75)-AU79*(1+AT75)^0.5)*(1+AU76/100)^((AT75-AU75)*100)</f>
        <v>556766342.09686267</v>
      </c>
      <c r="AV81" s="7">
        <f>(AU81*(1+AU75)-AV79*(1+AU75)^0.5)*(1+AV76/100)^((AU75-AV75)*100)</f>
        <v>528200291.4381026</v>
      </c>
      <c r="AW81" s="15">
        <f>(AV81*(1+AV75)-AW79*(1+AV75)^0.5)*(1+AW76/100)^((AV75-AW75)*100)</f>
        <v>609159010.53043544</v>
      </c>
    </row>
    <row r="82" spans="20:50" x14ac:dyDescent="0.3">
      <c r="T82" s="209"/>
      <c r="U82" t="s">
        <v>170</v>
      </c>
      <c r="V82" s="7">
        <f>$C$9</f>
        <v>425000000</v>
      </c>
      <c r="W82" s="7">
        <f>V82*(1+W73)+(W78-W79)*(1+W73)^0.5</f>
        <v>445991787.01879436</v>
      </c>
      <c r="X82" s="7">
        <f>W82*(1+X73)+(X78-X79)*(1+X73)^0.5</f>
        <v>518645463.84512931</v>
      </c>
      <c r="Y82" s="7">
        <f>X82*(1+Y73)+(Y78-Y79)*(1+Y73)^0.5</f>
        <v>625022966.81964433</v>
      </c>
      <c r="Z82" s="7">
        <f>Y82*(1+Z73)+(Z78-Z79)*(1+Z73)^0.5</f>
        <v>618635049.79855359</v>
      </c>
      <c r="AA82" s="15">
        <f>Z82*(1+AA73)+(AA78-AA79)*(1+AA73)^0.5</f>
        <v>791210731.88538373</v>
      </c>
      <c r="AE82" s="209"/>
      <c r="AF82" t="s">
        <v>170</v>
      </c>
      <c r="AG82" s="7">
        <f>$C$9</f>
        <v>425000000</v>
      </c>
      <c r="AH82" s="7">
        <f>AG82*(1+AH73)+(AH78-AH79)*(1+AH73)^0.5</f>
        <v>445384766.31586385</v>
      </c>
      <c r="AI82" s="7">
        <f>AH82*(1+AI73)+(AI78-AI79)*(1+AI73)^0.5</f>
        <v>489701571.62820083</v>
      </c>
      <c r="AJ82" s="7">
        <f>AI82*(1+AJ73)+(AJ78-AJ79)*(1+AJ73)^0.5</f>
        <v>552854350.79300141</v>
      </c>
      <c r="AK82" s="7">
        <f>AJ82*(1+AK73)+(AK78-AK79)*(1+AK73)^0.5</f>
        <v>550053670.2617135</v>
      </c>
      <c r="AL82" s="15">
        <f>AK82*(1+AL73)+(AL78-AL79)*(1+AL73)^0.5</f>
        <v>659489928.3171618</v>
      </c>
      <c r="AP82" s="209"/>
      <c r="AQ82" t="s">
        <v>170</v>
      </c>
      <c r="AR82" s="7">
        <f>$C$9</f>
        <v>425000000</v>
      </c>
      <c r="AS82" s="7">
        <f>AR82*(1+AS73)+(AS78-AS79)*(1+AS73)^0.5</f>
        <v>448755521.75186908</v>
      </c>
      <c r="AT82" s="7">
        <f>AS82*(1+AT73)+(AT78-AT79)*(1+AT73)^0.5</f>
        <v>507725088.2704851</v>
      </c>
      <c r="AU82" s="7">
        <f>AT82*(1+AU73)+(AU78-AU79)*(1+AU73)^0.5</f>
        <v>598640408.76222491</v>
      </c>
      <c r="AV82" s="7">
        <f>AU82*(1+AV73)+(AV78-AV79)*(1+AV73)^0.5</f>
        <v>593823741.47496784</v>
      </c>
      <c r="AW82" s="15">
        <f>AV82*(1+AW73)+(AW78-AW79)*(1+AW73)^0.5</f>
        <v>710507826.5412693</v>
      </c>
    </row>
    <row r="83" spans="20:50" ht="16.2" x14ac:dyDescent="0.45">
      <c r="T83" s="214"/>
      <c r="U83" s="23" t="s">
        <v>168</v>
      </c>
      <c r="V83" s="26">
        <f t="shared" ref="V83:AA83" si="13">V82/V81</f>
        <v>0.85</v>
      </c>
      <c r="W83" s="26">
        <f t="shared" si="13"/>
        <v>0.9012062558562336</v>
      </c>
      <c r="X83" s="26">
        <f t="shared" si="13"/>
        <v>1.004202055020629</v>
      </c>
      <c r="Y83" s="179">
        <f t="shared" si="13"/>
        <v>1.1225947395916882</v>
      </c>
      <c r="Z83" s="26">
        <f t="shared" si="13"/>
        <v>1.1712130035260471</v>
      </c>
      <c r="AA83" s="27">
        <f t="shared" si="13"/>
        <v>1.2988574710508241</v>
      </c>
      <c r="AB83" s="176">
        <f>1.1*Y81-Y82</f>
        <v>-12579990.513095379</v>
      </c>
      <c r="AC83" s="178"/>
      <c r="AE83" s="214"/>
      <c r="AF83" s="23" t="s">
        <v>168</v>
      </c>
      <c r="AG83" s="26">
        <f t="shared" ref="AG83:AL83" si="14">AG82/AG81</f>
        <v>0.85</v>
      </c>
      <c r="AH83" s="26">
        <f t="shared" si="14"/>
        <v>0.89997966184522737</v>
      </c>
      <c r="AI83" s="26">
        <f t="shared" si="14"/>
        <v>0.9481608514033264</v>
      </c>
      <c r="AJ83" s="26">
        <f t="shared" si="14"/>
        <v>0.9929737288192958</v>
      </c>
      <c r="AK83" s="26">
        <f t="shared" si="14"/>
        <v>1.0413732805109059</v>
      </c>
      <c r="AL83" s="45">
        <f t="shared" si="14"/>
        <v>1.0826236120892307</v>
      </c>
      <c r="AM83" s="176">
        <f>1.1*AL81-AL82</f>
        <v>10584983.266317248</v>
      </c>
      <c r="AP83" s="214"/>
      <c r="AQ83" s="23" t="s">
        <v>168</v>
      </c>
      <c r="AR83" s="51">
        <f t="shared" ref="AR83:AW83" si="15">AR82/AR81</f>
        <v>0.85</v>
      </c>
      <c r="AS83" s="51">
        <f t="shared" si="15"/>
        <v>0.9067908767023326</v>
      </c>
      <c r="AT83" s="51">
        <f t="shared" si="15"/>
        <v>0.98305800892726636</v>
      </c>
      <c r="AU83" s="51">
        <f t="shared" si="15"/>
        <v>1.0752094074287222</v>
      </c>
      <c r="AV83" s="177">
        <f t="shared" si="15"/>
        <v>1.1242397081194253</v>
      </c>
      <c r="AW83" s="50">
        <f t="shared" si="15"/>
        <v>1.166374976416392</v>
      </c>
      <c r="AX83" s="176">
        <f>1.1*AV81-AV82</f>
        <v>-12803420.893054962</v>
      </c>
    </row>
    <row r="84" spans="20:50" x14ac:dyDescent="0.3">
      <c r="AB84" s="175">
        <f>AB78+AB83</f>
        <v>62420009.486904621</v>
      </c>
      <c r="AC84" s="164"/>
      <c r="AM84" s="175">
        <f>AM78+AM83</f>
        <v>135584983.26631725</v>
      </c>
      <c r="AX84" s="175">
        <f>AX78+AX83</f>
        <v>87196579.106945038</v>
      </c>
    </row>
    <row r="86" spans="20:50" x14ac:dyDescent="0.3">
      <c r="T86" s="167"/>
      <c r="V86" s="9" t="s">
        <v>189</v>
      </c>
      <c r="W86" s="49" t="s">
        <v>95</v>
      </c>
      <c r="X86" s="49" t="s">
        <v>102</v>
      </c>
      <c r="Y86" s="49" t="s">
        <v>93</v>
      </c>
      <c r="Z86" s="49" t="s">
        <v>92</v>
      </c>
      <c r="AA86" s="49" t="s">
        <v>91</v>
      </c>
      <c r="AE86" s="167"/>
      <c r="AG86" s="9" t="s">
        <v>189</v>
      </c>
      <c r="AH86" s="49" t="s">
        <v>95</v>
      </c>
      <c r="AI86" s="49" t="s">
        <v>102</v>
      </c>
      <c r="AJ86" s="49" t="s">
        <v>93</v>
      </c>
      <c r="AK86" s="49" t="s">
        <v>92</v>
      </c>
      <c r="AL86" s="49" t="s">
        <v>91</v>
      </c>
      <c r="AP86" s="167"/>
      <c r="AR86" s="9" t="s">
        <v>189</v>
      </c>
      <c r="AS86" s="49" t="s">
        <v>95</v>
      </c>
      <c r="AT86" s="49" t="s">
        <v>102</v>
      </c>
      <c r="AU86" s="49" t="s">
        <v>93</v>
      </c>
      <c r="AV86" s="49" t="s">
        <v>92</v>
      </c>
      <c r="AW86" s="49" t="s">
        <v>91</v>
      </c>
    </row>
    <row r="87" spans="20:50" x14ac:dyDescent="0.3">
      <c r="T87" s="213" t="s">
        <v>119</v>
      </c>
      <c r="U87" s="11" t="s">
        <v>188</v>
      </c>
      <c r="V87" s="165" t="s">
        <v>0</v>
      </c>
      <c r="W87" s="11">
        <f>0.6</f>
        <v>0.6</v>
      </c>
      <c r="X87" s="11">
        <f>0.6</f>
        <v>0.6</v>
      </c>
      <c r="Y87" s="11">
        <f>0.6</f>
        <v>0.6</v>
      </c>
      <c r="Z87" s="11">
        <f>0.6</f>
        <v>0.6</v>
      </c>
      <c r="AA87" s="12">
        <f>0.6</f>
        <v>0.6</v>
      </c>
      <c r="AE87" s="213" t="s">
        <v>119</v>
      </c>
      <c r="AF87" s="11" t="s">
        <v>188</v>
      </c>
      <c r="AG87" s="165" t="s">
        <v>0</v>
      </c>
      <c r="AH87" s="11">
        <v>0</v>
      </c>
      <c r="AI87" s="11">
        <v>0</v>
      </c>
      <c r="AJ87" s="11">
        <v>0</v>
      </c>
      <c r="AK87" s="11">
        <v>0</v>
      </c>
      <c r="AL87" s="12">
        <v>0</v>
      </c>
      <c r="AP87" s="213" t="s">
        <v>119</v>
      </c>
      <c r="AQ87" s="11" t="s">
        <v>188</v>
      </c>
      <c r="AR87" s="165" t="s">
        <v>0</v>
      </c>
      <c r="AS87" s="11">
        <f>VLOOKUP(AR102,$F$8:$H$17,2,TRUE)</f>
        <v>0.6</v>
      </c>
      <c r="AT87" s="11">
        <f>VLOOKUP(AS102,$F$8:$H$17,2,TRUE)</f>
        <v>0.6</v>
      </c>
      <c r="AU87" s="11">
        <f>VLOOKUP(AT102,$F$8:$H$17,2,TRUE)</f>
        <v>0.5</v>
      </c>
      <c r="AV87" s="11">
        <f>VLOOKUP(AU102,$F$8:$H$17,2,TRUE)</f>
        <v>0.25</v>
      </c>
      <c r="AW87" s="12">
        <f>VLOOKUP(AV102,$F$8:$H$17,2,TRUE)</f>
        <v>9.9999999999999978E-2</v>
      </c>
    </row>
    <row r="88" spans="20:50" x14ac:dyDescent="0.3">
      <c r="T88" s="209"/>
      <c r="U88" t="s">
        <v>186</v>
      </c>
      <c r="V88" s="2" t="s">
        <v>0</v>
      </c>
      <c r="W88">
        <f>1-W87</f>
        <v>0.4</v>
      </c>
      <c r="X88">
        <f>1-X87</f>
        <v>0.4</v>
      </c>
      <c r="Y88">
        <f>1-Y87</f>
        <v>0.4</v>
      </c>
      <c r="Z88">
        <f>1-Z87</f>
        <v>0.4</v>
      </c>
      <c r="AA88" s="14">
        <f>1-AA87</f>
        <v>0.4</v>
      </c>
      <c r="AE88" s="209"/>
      <c r="AF88" t="s">
        <v>163</v>
      </c>
      <c r="AG88" s="2" t="s">
        <v>0</v>
      </c>
      <c r="AH88">
        <f>1-AH87</f>
        <v>1</v>
      </c>
      <c r="AI88">
        <f>1-AI87</f>
        <v>1</v>
      </c>
      <c r="AJ88">
        <f>1-AJ87</f>
        <v>1</v>
      </c>
      <c r="AK88">
        <f>1-AK87</f>
        <v>1</v>
      </c>
      <c r="AL88" s="14">
        <f>1-AL87</f>
        <v>1</v>
      </c>
      <c r="AP88" s="209"/>
      <c r="AQ88" t="s">
        <v>163</v>
      </c>
      <c r="AR88" s="2" t="s">
        <v>0</v>
      </c>
      <c r="AS88">
        <f>1-AS87</f>
        <v>0.4</v>
      </c>
      <c r="AT88">
        <f>1-AT87</f>
        <v>0.4</v>
      </c>
      <c r="AU88">
        <f>1-AU87</f>
        <v>0.5</v>
      </c>
      <c r="AV88">
        <f>1-AV87</f>
        <v>0.75</v>
      </c>
      <c r="AW88" s="14">
        <f>1-AW87</f>
        <v>0.9</v>
      </c>
    </row>
    <row r="89" spans="20:50" x14ac:dyDescent="0.3">
      <c r="T89" s="209"/>
      <c r="V89" s="2"/>
      <c r="AA89" s="14"/>
      <c r="AE89" s="209"/>
      <c r="AG89" s="2"/>
      <c r="AL89" s="14"/>
      <c r="AP89" s="209"/>
      <c r="AR89" s="2"/>
      <c r="AW89" s="14"/>
    </row>
    <row r="90" spans="20:50" x14ac:dyDescent="0.3">
      <c r="T90" s="209"/>
      <c r="U90" t="s">
        <v>18</v>
      </c>
      <c r="V90" s="153" t="s">
        <v>0</v>
      </c>
      <c r="W90" s="152">
        <v>0.13519999999999999</v>
      </c>
      <c r="X90" s="152">
        <v>1.38E-2</v>
      </c>
      <c r="Y90" s="152">
        <v>0.1177</v>
      </c>
      <c r="Z90" s="152">
        <v>0.21609999999999999</v>
      </c>
      <c r="AA90" s="151">
        <v>-4.2299999999999997E-2</v>
      </c>
      <c r="AE90" s="209"/>
      <c r="AF90" t="s">
        <v>18</v>
      </c>
      <c r="AG90" s="153" t="s">
        <v>0</v>
      </c>
      <c r="AH90" s="152">
        <v>0.13519999999999999</v>
      </c>
      <c r="AI90" s="152">
        <v>1.38E-2</v>
      </c>
      <c r="AJ90" s="152">
        <v>0.1177</v>
      </c>
      <c r="AK90" s="152">
        <v>0.21609999999999999</v>
      </c>
      <c r="AL90" s="151">
        <v>-4.2299999999999997E-2</v>
      </c>
      <c r="AP90" s="209"/>
      <c r="AQ90" t="s">
        <v>18</v>
      </c>
      <c r="AR90" s="153" t="s">
        <v>0</v>
      </c>
      <c r="AS90" s="152">
        <v>0.13519999999999999</v>
      </c>
      <c r="AT90" s="152">
        <v>1.38E-2</v>
      </c>
      <c r="AU90" s="152">
        <v>0.1177</v>
      </c>
      <c r="AV90" s="152">
        <v>0.21609999999999999</v>
      </c>
      <c r="AW90" s="151">
        <v>-4.2299999999999997E-2</v>
      </c>
    </row>
    <row r="91" spans="20:50" x14ac:dyDescent="0.3">
      <c r="T91" s="209"/>
      <c r="U91" t="s">
        <v>164</v>
      </c>
      <c r="V91" s="149" t="s">
        <v>0</v>
      </c>
      <c r="W91" s="148">
        <v>0.10780000000000001</v>
      </c>
      <c r="X91" s="148">
        <v>-1.4999999999999999E-2</v>
      </c>
      <c r="Y91" s="148">
        <v>0.1152</v>
      </c>
      <c r="Z91" s="148">
        <v>9.2299999999999993E-2</v>
      </c>
      <c r="AA91" s="147">
        <v>-3.27E-2</v>
      </c>
      <c r="AE91" s="209"/>
      <c r="AF91" t="s">
        <v>163</v>
      </c>
      <c r="AG91" s="146" t="s">
        <v>0</v>
      </c>
      <c r="AH91" s="182">
        <v>0.14612169449722551</v>
      </c>
      <c r="AI91" s="182">
        <v>8.8452476082614279E-4</v>
      </c>
      <c r="AJ91" s="182">
        <v>5.4541790676526578E-2</v>
      </c>
      <c r="AK91" s="182">
        <v>8.9528786541844152E-2</v>
      </c>
      <c r="AL91" s="181">
        <v>-3.7015890670377055E-2</v>
      </c>
      <c r="AP91" s="209"/>
      <c r="AQ91" t="s">
        <v>163</v>
      </c>
      <c r="AR91" s="146" t="s">
        <v>0</v>
      </c>
      <c r="AS91" s="182">
        <v>0.14612169449722551</v>
      </c>
      <c r="AT91" s="182">
        <v>8.8452476082614279E-4</v>
      </c>
      <c r="AU91" s="182">
        <v>5.4541790676526578E-2</v>
      </c>
      <c r="AV91" s="182">
        <v>8.9528786541844152E-2</v>
      </c>
      <c r="AW91" s="181">
        <v>-3.7015890670377055E-2</v>
      </c>
    </row>
    <row r="92" spans="20:50" x14ac:dyDescent="0.3">
      <c r="T92" s="209"/>
      <c r="U92" t="s">
        <v>16</v>
      </c>
      <c r="V92" s="2" t="s">
        <v>0</v>
      </c>
      <c r="W92" s="31">
        <f>W87*W90+W88*W91</f>
        <v>0.12423999999999999</v>
      </c>
      <c r="X92" s="31">
        <f>X87*X90+X88*X91</f>
        <v>2.279999999999999E-3</v>
      </c>
      <c r="Y92" s="31">
        <f>Y87*Y90+Y88*Y91</f>
        <v>0.1167</v>
      </c>
      <c r="Z92" s="31">
        <f>Z87*Z90+Z88*Z91</f>
        <v>0.16658000000000001</v>
      </c>
      <c r="AA92" s="34">
        <f>AA87*AA90+AA88*AA91</f>
        <v>-3.8459999999999994E-2</v>
      </c>
      <c r="AE92" s="209"/>
      <c r="AF92" t="s">
        <v>16</v>
      </c>
      <c r="AG92" s="2" t="s">
        <v>0</v>
      </c>
      <c r="AH92" s="31">
        <f>AH87*AH90+AH88*AH91</f>
        <v>0.14612169449722551</v>
      </c>
      <c r="AI92" s="31">
        <f>AI87*AI90+AI88*AI91</f>
        <v>8.8452476082614279E-4</v>
      </c>
      <c r="AJ92" s="31">
        <f>AJ87*AJ90+AJ88*AJ91</f>
        <v>5.4541790676526578E-2</v>
      </c>
      <c r="AK92" s="31">
        <f>AK87*AK90+AK88*AK91</f>
        <v>8.9528786541844152E-2</v>
      </c>
      <c r="AL92" s="34">
        <f>AL87*AL90+AL88*AL91</f>
        <v>-3.7015890670377055E-2</v>
      </c>
      <c r="AP92" s="209"/>
      <c r="AQ92" t="s">
        <v>16</v>
      </c>
      <c r="AR92" s="2" t="s">
        <v>0</v>
      </c>
      <c r="AS92" s="31">
        <f>AS87*AS90+AS88*AS91</f>
        <v>0.13956867779889021</v>
      </c>
      <c r="AT92" s="31">
        <f>AT87*AT90+AT88*AT91</f>
        <v>8.633809904330457E-3</v>
      </c>
      <c r="AU92" s="31">
        <f>AU87*AU90+AU88*AU91</f>
        <v>8.6120895338263281E-2</v>
      </c>
      <c r="AV92" s="31">
        <f>AV87*AV90+AV88*AV91</f>
        <v>0.1211715899063831</v>
      </c>
      <c r="AW92" s="34">
        <f>AW87*AW90+AW88*AW91</f>
        <v>-3.7544301603339346E-2</v>
      </c>
    </row>
    <row r="93" spans="20:50" x14ac:dyDescent="0.3">
      <c r="T93" s="209"/>
      <c r="AA93" s="14"/>
      <c r="AE93" s="209"/>
      <c r="AL93" s="14"/>
      <c r="AP93" s="209"/>
      <c r="AW93" s="14"/>
    </row>
    <row r="94" spans="20:50" x14ac:dyDescent="0.3">
      <c r="T94" s="209"/>
      <c r="U94" t="s">
        <v>17</v>
      </c>
      <c r="V94" s="155">
        <v>4.4999999999999998E-2</v>
      </c>
      <c r="W94" s="155">
        <v>3.6499999999999998E-2</v>
      </c>
      <c r="X94" s="155">
        <v>3.9699999999999999E-2</v>
      </c>
      <c r="Y94" s="155">
        <v>3.8399999999999997E-2</v>
      </c>
      <c r="Z94" s="155">
        <v>3.4000000000000002E-2</v>
      </c>
      <c r="AA94" s="154">
        <v>4.0500000000000001E-2</v>
      </c>
      <c r="AE94" s="209"/>
      <c r="AF94" t="s">
        <v>17</v>
      </c>
      <c r="AG94" s="155">
        <v>4.4999999999999998E-2</v>
      </c>
      <c r="AH94" s="155">
        <v>3.6499999999999998E-2</v>
      </c>
      <c r="AI94" s="155">
        <v>3.9699999999999999E-2</v>
      </c>
      <c r="AJ94" s="155">
        <v>3.8399999999999997E-2</v>
      </c>
      <c r="AK94" s="155">
        <v>3.4000000000000002E-2</v>
      </c>
      <c r="AL94" s="154">
        <v>4.0500000000000001E-2</v>
      </c>
      <c r="AP94" s="209"/>
      <c r="AQ94" t="s">
        <v>17</v>
      </c>
      <c r="AR94" s="155">
        <f t="shared" ref="AR94:AW94" si="16">AG94</f>
        <v>4.4999999999999998E-2</v>
      </c>
      <c r="AS94" s="155">
        <f t="shared" si="16"/>
        <v>3.6499999999999998E-2</v>
      </c>
      <c r="AT94" s="155">
        <f t="shared" si="16"/>
        <v>3.9699999999999999E-2</v>
      </c>
      <c r="AU94" s="155">
        <f t="shared" si="16"/>
        <v>3.8399999999999997E-2</v>
      </c>
      <c r="AV94" s="155">
        <f t="shared" si="16"/>
        <v>3.4000000000000002E-2</v>
      </c>
      <c r="AW94" s="154">
        <f t="shared" si="16"/>
        <v>4.0500000000000001E-2</v>
      </c>
    </row>
    <row r="95" spans="20:50" x14ac:dyDescent="0.3">
      <c r="T95" s="209"/>
      <c r="U95" t="s">
        <v>177</v>
      </c>
      <c r="V95" s="2" t="s">
        <v>0</v>
      </c>
      <c r="W95">
        <v>12</v>
      </c>
      <c r="X95">
        <v>12</v>
      </c>
      <c r="Y95">
        <v>12</v>
      </c>
      <c r="Z95">
        <v>12</v>
      </c>
      <c r="AA95" s="14">
        <v>12</v>
      </c>
      <c r="AE95" s="209"/>
      <c r="AF95" t="s">
        <v>177</v>
      </c>
      <c r="AG95" s="2" t="s">
        <v>0</v>
      </c>
      <c r="AH95">
        <v>12</v>
      </c>
      <c r="AI95">
        <v>12</v>
      </c>
      <c r="AJ95">
        <v>12</v>
      </c>
      <c r="AK95">
        <v>12</v>
      </c>
      <c r="AL95" s="14">
        <v>12</v>
      </c>
      <c r="AP95" s="209"/>
      <c r="AQ95" t="s">
        <v>177</v>
      </c>
      <c r="AR95" s="2" t="s">
        <v>0</v>
      </c>
      <c r="AS95">
        <v>12</v>
      </c>
      <c r="AT95">
        <v>12</v>
      </c>
      <c r="AU95">
        <v>12</v>
      </c>
      <c r="AV95">
        <v>12</v>
      </c>
      <c r="AW95" s="14">
        <v>12</v>
      </c>
    </row>
    <row r="96" spans="20:50" x14ac:dyDescent="0.3">
      <c r="T96" s="209"/>
      <c r="AA96" s="14"/>
      <c r="AE96" s="209"/>
      <c r="AL96" s="14"/>
      <c r="AP96" s="209"/>
      <c r="AW96" s="14"/>
    </row>
    <row r="97" spans="20:50" x14ac:dyDescent="0.3">
      <c r="T97" s="209"/>
      <c r="U97" t="s">
        <v>176</v>
      </c>
      <c r="V97" s="2" t="s">
        <v>0</v>
      </c>
      <c r="W97" s="175">
        <f>$C$10</f>
        <v>25000000</v>
      </c>
      <c r="X97" s="175">
        <f>W97</f>
        <v>25000000</v>
      </c>
      <c r="Y97" s="175">
        <f>X97</f>
        <v>25000000</v>
      </c>
      <c r="Z97" s="175">
        <f>Y97</f>
        <v>25000000</v>
      </c>
      <c r="AA97" s="163">
        <f>Z97</f>
        <v>25000000</v>
      </c>
      <c r="AB97" s="175">
        <f>SUM(W97:Z97)</f>
        <v>100000000</v>
      </c>
      <c r="AC97" s="164"/>
      <c r="AE97" s="209"/>
      <c r="AF97" t="s">
        <v>176</v>
      </c>
      <c r="AG97" s="2" t="s">
        <v>0</v>
      </c>
      <c r="AH97" s="175">
        <f>$C$10</f>
        <v>25000000</v>
      </c>
      <c r="AI97" s="175">
        <f>AH97</f>
        <v>25000000</v>
      </c>
      <c r="AJ97" s="175">
        <f>AI97</f>
        <v>25000000</v>
      </c>
      <c r="AK97" s="175">
        <f>AJ97</f>
        <v>25000000</v>
      </c>
      <c r="AL97" s="180">
        <f>AK97</f>
        <v>25000000</v>
      </c>
      <c r="AM97" s="175">
        <f>SUM(AH97:AL97)</f>
        <v>125000000</v>
      </c>
      <c r="AP97" s="209"/>
      <c r="AQ97" t="s">
        <v>176</v>
      </c>
      <c r="AR97" s="2" t="s">
        <v>0</v>
      </c>
      <c r="AS97" s="175">
        <f>$C$10</f>
        <v>25000000</v>
      </c>
      <c r="AT97" s="175">
        <f>AS97</f>
        <v>25000000</v>
      </c>
      <c r="AU97" s="175">
        <f>AT97</f>
        <v>25000000</v>
      </c>
      <c r="AV97" s="175">
        <f>AU97</f>
        <v>25000000</v>
      </c>
      <c r="AW97" s="180">
        <f>AV97</f>
        <v>25000000</v>
      </c>
      <c r="AX97" s="175">
        <f>SUM(AS97:AW97)</f>
        <v>125000000</v>
      </c>
    </row>
    <row r="98" spans="20:50" x14ac:dyDescent="0.3">
      <c r="T98" s="209"/>
      <c r="U98" t="s">
        <v>174</v>
      </c>
      <c r="V98" s="2" t="s">
        <v>0</v>
      </c>
      <c r="W98" s="17">
        <f>$C$12</f>
        <v>5000000</v>
      </c>
      <c r="X98" s="17">
        <f>$C$13</f>
        <v>5500000</v>
      </c>
      <c r="Y98" s="17">
        <f>$C$14</f>
        <v>6500000</v>
      </c>
      <c r="Z98" s="17">
        <f>$C$15</f>
        <v>7000000</v>
      </c>
      <c r="AA98" s="18">
        <f>$C$16</f>
        <v>8000000</v>
      </c>
      <c r="AE98" s="209"/>
      <c r="AF98" t="s">
        <v>174</v>
      </c>
      <c r="AG98" s="2" t="s">
        <v>0</v>
      </c>
      <c r="AH98" s="17">
        <f>$C$12</f>
        <v>5000000</v>
      </c>
      <c r="AI98" s="17">
        <f>$C$13</f>
        <v>5500000</v>
      </c>
      <c r="AJ98" s="17">
        <f>$C$14</f>
        <v>6500000</v>
      </c>
      <c r="AK98" s="17">
        <f>$C$15</f>
        <v>7000000</v>
      </c>
      <c r="AL98" s="18">
        <f>$C$16</f>
        <v>8000000</v>
      </c>
      <c r="AP98" s="209"/>
      <c r="AQ98" t="s">
        <v>174</v>
      </c>
      <c r="AR98" s="2" t="s">
        <v>0</v>
      </c>
      <c r="AS98" s="17">
        <f>$C$12</f>
        <v>5000000</v>
      </c>
      <c r="AT98" s="17">
        <f>$C$13</f>
        <v>5500000</v>
      </c>
      <c r="AU98" s="17">
        <f>$C$14</f>
        <v>6500000</v>
      </c>
      <c r="AV98" s="17">
        <f>$C$15</f>
        <v>7000000</v>
      </c>
      <c r="AW98" s="18">
        <f>$C$16</f>
        <v>8000000</v>
      </c>
    </row>
    <row r="99" spans="20:50" x14ac:dyDescent="0.3">
      <c r="T99" s="209"/>
      <c r="AA99" s="14"/>
      <c r="AE99" s="209"/>
      <c r="AL99" s="14"/>
      <c r="AP99" s="209"/>
      <c r="AW99" s="14"/>
    </row>
    <row r="100" spans="20:50" x14ac:dyDescent="0.3">
      <c r="T100" s="209"/>
      <c r="U100" t="s">
        <v>171</v>
      </c>
      <c r="V100" s="17">
        <f>$C$8</f>
        <v>500000000</v>
      </c>
      <c r="W100" s="7">
        <f>(V100*(1+V94)-W98*(1+V94)^0.5)*(1+W95/100)^((V94-W94)*100)</f>
        <v>569707963.81768513</v>
      </c>
      <c r="X100" s="7">
        <f>(W100*(1+W94)-X98*(1+W94)^0.5)*(1+X95/100)^((W94-X94)*100)</f>
        <v>564071236.84892225</v>
      </c>
      <c r="Y100" s="7">
        <f>(X100*(1+X94)-Y98*(1+X94)^0.5)*(1+Y95/100)^((X94-Y94)*100)</f>
        <v>588442916.52042031</v>
      </c>
      <c r="Z100" s="7">
        <f>(Y100*(1+Y94)-Z98*(1+Y94)^0.5)*(1+Z95/100)^((Y94-Z94)*100)</f>
        <v>634782971.04394937</v>
      </c>
      <c r="AA100" s="15">
        <f>(Z100*(1+Z94)-AA98*(1+Z94)^0.5)*(1+AA95/100)^((Z94-AA94)*100)</f>
        <v>602196046.24862635</v>
      </c>
      <c r="AE100" s="209"/>
      <c r="AF100" t="s">
        <v>171</v>
      </c>
      <c r="AG100" s="17">
        <f>$C$8</f>
        <v>500000000</v>
      </c>
      <c r="AH100" s="7">
        <f>(AG100*(1+AG94)-AH98*(1+AG94)^0.5)*(1+AH95/100)^((AG94-AH94)*100)</f>
        <v>569707963.81768513</v>
      </c>
      <c r="AI100" s="7">
        <f>(AH100*(1+AH94)-AI98*(1+AH94)^0.5)*(1+AI95/100)^((AH94-AI94)*100)</f>
        <v>564071236.84892225</v>
      </c>
      <c r="AJ100" s="7">
        <f>(AI100*(1+AI94)-AJ98*(1+AI94)^0.5)*(1+AJ95/100)^((AI94-AJ94)*100)</f>
        <v>588442916.52042031</v>
      </c>
      <c r="AK100" s="7">
        <f>(AJ100*(1+AJ94)-AK98*(1+AJ94)^0.5)*(1+AK95/100)^((AJ94-AK94)*100)</f>
        <v>634782971.04394937</v>
      </c>
      <c r="AL100" s="15">
        <f>(AK100*(1+AK94)-AL98*(1+AK94)^0.5)*(1+AL95/100)^((AK94-AL94)*100)</f>
        <v>602196046.24862635</v>
      </c>
      <c r="AP100" s="209"/>
      <c r="AQ100" t="s">
        <v>171</v>
      </c>
      <c r="AR100" s="17">
        <f>$C$8</f>
        <v>500000000</v>
      </c>
      <c r="AS100" s="7">
        <f>(AR100*(1+AR94)-AS98*(1+AR94)^0.5)*(1+AS95/100)^((AR94-AS94)*100)</f>
        <v>569707963.81768513</v>
      </c>
      <c r="AT100" s="7">
        <f>(AS100*(1+AS94)-AT98*(1+AS94)^0.5)*(1+AT95/100)^((AS94-AT94)*100)</f>
        <v>564071236.84892225</v>
      </c>
      <c r="AU100" s="7">
        <f>(AT100*(1+AT94)-AU98*(1+AT94)^0.5)*(1+AU95/100)^((AT94-AU94)*100)</f>
        <v>588442916.52042031</v>
      </c>
      <c r="AV100" s="7">
        <f>(AU100*(1+AU94)-AV98*(1+AU94)^0.5)*(1+AV95/100)^((AU94-AV94)*100)</f>
        <v>634782971.04394937</v>
      </c>
      <c r="AW100" s="15">
        <f>(AV100*(1+AV94)-AW98*(1+AV94)^0.5)*(1+AW95/100)^((AV94-AW94)*100)</f>
        <v>602196046.24862635</v>
      </c>
    </row>
    <row r="101" spans="20:50" x14ac:dyDescent="0.3">
      <c r="T101" s="209"/>
      <c r="U101" t="s">
        <v>170</v>
      </c>
      <c r="V101" s="7">
        <f>$C$9</f>
        <v>425000000</v>
      </c>
      <c r="W101" s="7">
        <f>V101*(1+W92)+(W97-W98)*(1+W92)^0.5</f>
        <v>499008036.87632364</v>
      </c>
      <c r="X101" s="7">
        <f>W101*(1+X92)+(X97-X98)*(1+X92)^0.5</f>
        <v>519667992.54372615</v>
      </c>
      <c r="Y101" s="7">
        <f>X101*(1+Y92)+(Y97-Y98)*(1+Y92)^0.5</f>
        <v>599862942.28398776</v>
      </c>
      <c r="Z101" s="7">
        <f>Y101*(1+Z92)+(Z97-Z98)*(1+Z92)^0.5</f>
        <v>719229611.15178859</v>
      </c>
      <c r="AA101" s="15">
        <f>Z101*(1+AA92)+(AA97-AA98)*(1+AA92)^0.5</f>
        <v>708237925.12952828</v>
      </c>
      <c r="AE101" s="209"/>
      <c r="AF101" t="s">
        <v>170</v>
      </c>
      <c r="AG101" s="7">
        <f>$C$9</f>
        <v>425000000</v>
      </c>
      <c r="AH101" s="7">
        <f>AG101*(1+AH92)+(AH97-AH98)*(1+AH92)^0.5</f>
        <v>508513134.82263851</v>
      </c>
      <c r="AI101" s="7">
        <f>AH101*(1+AI92)+(AI97-AI98)*(1+AI92)^0.5</f>
        <v>528471549.49179441</v>
      </c>
      <c r="AJ101" s="7">
        <f>AI101*(1+AJ92)+(AJ97-AJ98)*(1+AJ92)^0.5</f>
        <v>576293147.88792336</v>
      </c>
      <c r="AK101" s="7">
        <f>AJ101*(1+AK92)+(AK97-AK98)*(1+AK92)^0.5</f>
        <v>646676463.32191348</v>
      </c>
      <c r="AL101" s="15">
        <f>AK101*(1+AL92)+(AL97-AL98)*(1+AL92)^0.5</f>
        <v>639421556.19333005</v>
      </c>
      <c r="AP101" s="209"/>
      <c r="AQ101" t="s">
        <v>170</v>
      </c>
      <c r="AR101" s="7">
        <f>$C$9</f>
        <v>425000000</v>
      </c>
      <c r="AS101" s="7">
        <f>AR101*(1+AS92)+(AS97-AS98)*(1+AS92)^0.5</f>
        <v>505666804.48387265</v>
      </c>
      <c r="AT101" s="7">
        <f>AS101*(1+AT92)+(AT97-AT98)*(1+AT92)^0.5</f>
        <v>529616634.27768207</v>
      </c>
      <c r="AU101" s="7">
        <f>AT101*(1+AU92)+(AU97-AU98)*(1+AU92)^0.5</f>
        <v>594507860.96417904</v>
      </c>
      <c r="AV101" s="7">
        <f>AU101*(1+AV92)+(AV97-AV98)*(1+AV92)^0.5</f>
        <v>685604693.96011961</v>
      </c>
      <c r="AW101" s="15">
        <f>AV101*(1+AW92)+(AW97-AW98)*(1+AW92)^0.5</f>
        <v>676541965.05560398</v>
      </c>
    </row>
    <row r="102" spans="20:50" ht="16.2" x14ac:dyDescent="0.45">
      <c r="T102" s="214"/>
      <c r="U102" s="23" t="s">
        <v>168</v>
      </c>
      <c r="V102" s="26">
        <f t="shared" ref="V102:AA102" si="17">V101/V100</f>
        <v>0.85</v>
      </c>
      <c r="W102" s="26">
        <f t="shared" si="17"/>
        <v>0.87590145928873397</v>
      </c>
      <c r="X102" s="26">
        <f t="shared" si="17"/>
        <v>0.92128078617650055</v>
      </c>
      <c r="Y102" s="26">
        <f t="shared" si="17"/>
        <v>1.0194071938720859</v>
      </c>
      <c r="Z102" s="179">
        <f t="shared" si="17"/>
        <v>1.1330323023142228</v>
      </c>
      <c r="AA102" s="27">
        <f t="shared" si="17"/>
        <v>1.1760919546740445</v>
      </c>
      <c r="AB102" s="176">
        <f>1.1*Z100-Z101</f>
        <v>-20968343.003444195</v>
      </c>
      <c r="AC102" s="178"/>
      <c r="AE102" s="214"/>
      <c r="AF102" s="23" t="s">
        <v>168</v>
      </c>
      <c r="AG102" s="26">
        <f t="shared" ref="AG102:AL102" si="18">AG101/AG100</f>
        <v>0.85</v>
      </c>
      <c r="AH102" s="26">
        <f t="shared" si="18"/>
        <v>0.89258561775234402</v>
      </c>
      <c r="AI102" s="26">
        <f t="shared" si="18"/>
        <v>0.93688795841461658</v>
      </c>
      <c r="AJ102" s="26">
        <f t="shared" si="18"/>
        <v>0.97935268096293704</v>
      </c>
      <c r="AK102" s="26">
        <f t="shared" si="18"/>
        <v>1.0187363127564755</v>
      </c>
      <c r="AL102" s="45">
        <f t="shared" si="18"/>
        <v>1.0618162642823705</v>
      </c>
      <c r="AM102" s="176">
        <f>1.1*AL100-AL101</f>
        <v>22994094.680158973</v>
      </c>
      <c r="AP102" s="214"/>
      <c r="AQ102" s="23" t="s">
        <v>168</v>
      </c>
      <c r="AR102" s="51">
        <f t="shared" ref="AR102:AW102" si="19">AR101/AR100</f>
        <v>0.85</v>
      </c>
      <c r="AS102" s="51">
        <f t="shared" si="19"/>
        <v>0.88758949602061987</v>
      </c>
      <c r="AT102" s="51">
        <f t="shared" si="19"/>
        <v>0.93891799418152511</v>
      </c>
      <c r="AU102" s="51">
        <f t="shared" si="19"/>
        <v>1.0103067676974038</v>
      </c>
      <c r="AV102" s="51">
        <f t="shared" si="19"/>
        <v>1.0800615725916372</v>
      </c>
      <c r="AW102" s="183">
        <f t="shared" si="19"/>
        <v>1.1234579988861015</v>
      </c>
      <c r="AX102" s="176">
        <f>1.1*AW100-AW101</f>
        <v>-14126314.182114959</v>
      </c>
    </row>
    <row r="103" spans="20:50" x14ac:dyDescent="0.3">
      <c r="AB103" s="175">
        <f>AB97+AB102</f>
        <v>79031656.996555805</v>
      </c>
      <c r="AC103" s="164"/>
      <c r="AM103" s="175">
        <f>AM97+AM102</f>
        <v>147994094.68015897</v>
      </c>
      <c r="AX103" s="175">
        <f>AX97+AX102</f>
        <v>110873685.81788504</v>
      </c>
    </row>
    <row r="105" spans="20:50" x14ac:dyDescent="0.3">
      <c r="T105" s="167"/>
      <c r="V105" s="9" t="s">
        <v>189</v>
      </c>
      <c r="W105" s="49" t="s">
        <v>95</v>
      </c>
      <c r="X105" s="49" t="s">
        <v>102</v>
      </c>
      <c r="Y105" s="49" t="s">
        <v>93</v>
      </c>
      <c r="Z105" s="49" t="s">
        <v>92</v>
      </c>
      <c r="AA105" s="49" t="s">
        <v>91</v>
      </c>
      <c r="AE105" s="167"/>
      <c r="AG105" s="9" t="s">
        <v>189</v>
      </c>
      <c r="AH105" s="49" t="s">
        <v>95</v>
      </c>
      <c r="AI105" s="49" t="s">
        <v>102</v>
      </c>
      <c r="AJ105" s="49" t="s">
        <v>93</v>
      </c>
      <c r="AK105" s="49" t="s">
        <v>92</v>
      </c>
      <c r="AL105" s="49" t="s">
        <v>91</v>
      </c>
      <c r="AP105" s="167"/>
      <c r="AR105" s="9" t="s">
        <v>189</v>
      </c>
      <c r="AS105" s="49" t="s">
        <v>95</v>
      </c>
      <c r="AT105" s="49" t="s">
        <v>102</v>
      </c>
      <c r="AU105" s="49" t="s">
        <v>93</v>
      </c>
      <c r="AV105" s="49" t="s">
        <v>92</v>
      </c>
      <c r="AW105" s="49" t="s">
        <v>91</v>
      </c>
    </row>
    <row r="106" spans="20:50" x14ac:dyDescent="0.3">
      <c r="T106" s="213" t="s">
        <v>120</v>
      </c>
      <c r="U106" s="11" t="s">
        <v>188</v>
      </c>
      <c r="V106" s="165" t="s">
        <v>0</v>
      </c>
      <c r="W106" s="11">
        <f>0.6</f>
        <v>0.6</v>
      </c>
      <c r="X106" s="11">
        <f>0.6</f>
        <v>0.6</v>
      </c>
      <c r="Y106" s="11">
        <f>0.6</f>
        <v>0.6</v>
      </c>
      <c r="Z106" s="11">
        <f>0.6</f>
        <v>0.6</v>
      </c>
      <c r="AA106" s="12">
        <f>0.6</f>
        <v>0.6</v>
      </c>
      <c r="AE106" s="213" t="s">
        <v>120</v>
      </c>
      <c r="AF106" s="11" t="s">
        <v>188</v>
      </c>
      <c r="AG106" s="165" t="s">
        <v>0</v>
      </c>
      <c r="AH106" s="11">
        <v>0</v>
      </c>
      <c r="AI106" s="11">
        <v>0</v>
      </c>
      <c r="AJ106" s="11">
        <v>0</v>
      </c>
      <c r="AK106" s="11">
        <v>0</v>
      </c>
      <c r="AL106" s="12">
        <v>0</v>
      </c>
      <c r="AP106" s="213" t="s">
        <v>120</v>
      </c>
      <c r="AQ106" s="11" t="s">
        <v>188</v>
      </c>
      <c r="AR106" s="165" t="s">
        <v>0</v>
      </c>
      <c r="AS106" s="11">
        <f>VLOOKUP(AR121,$F$8:$H$17,2,TRUE)</f>
        <v>0.6</v>
      </c>
      <c r="AT106" s="11">
        <f>VLOOKUP(AS121,$F$8:$H$17,2,TRUE)</f>
        <v>0</v>
      </c>
      <c r="AU106" s="11">
        <f>VLOOKUP(AT121,$F$8:$H$17,2,TRUE)</f>
        <v>0</v>
      </c>
      <c r="AV106" s="11">
        <f>VLOOKUP(AU121,$F$8:$H$17,2,TRUE)</f>
        <v>0</v>
      </c>
      <c r="AW106" s="12">
        <f>VLOOKUP(AV121,$F$8:$H$17,2,TRUE)</f>
        <v>0</v>
      </c>
    </row>
    <row r="107" spans="20:50" x14ac:dyDescent="0.3">
      <c r="T107" s="209"/>
      <c r="U107" t="s">
        <v>186</v>
      </c>
      <c r="V107" s="2" t="s">
        <v>0</v>
      </c>
      <c r="W107">
        <f>1-W106</f>
        <v>0.4</v>
      </c>
      <c r="X107">
        <f>1-X106</f>
        <v>0.4</v>
      </c>
      <c r="Y107">
        <f>1-Y106</f>
        <v>0.4</v>
      </c>
      <c r="Z107">
        <f>1-Z106</f>
        <v>0.4</v>
      </c>
      <c r="AA107" s="14">
        <f>1-AA106</f>
        <v>0.4</v>
      </c>
      <c r="AE107" s="209"/>
      <c r="AF107" t="s">
        <v>163</v>
      </c>
      <c r="AG107" s="2" t="s">
        <v>0</v>
      </c>
      <c r="AH107">
        <f>1-AH106</f>
        <v>1</v>
      </c>
      <c r="AI107">
        <f>1-AI106</f>
        <v>1</v>
      </c>
      <c r="AJ107">
        <f>1-AJ106</f>
        <v>1</v>
      </c>
      <c r="AK107">
        <f>1-AK106</f>
        <v>1</v>
      </c>
      <c r="AL107" s="14">
        <f>1-AL106</f>
        <v>1</v>
      </c>
      <c r="AP107" s="209"/>
      <c r="AQ107" t="s">
        <v>163</v>
      </c>
      <c r="AR107" s="2" t="s">
        <v>0</v>
      </c>
      <c r="AS107">
        <f>1-AS106</f>
        <v>0.4</v>
      </c>
      <c r="AT107">
        <f>1-AT106</f>
        <v>1</v>
      </c>
      <c r="AU107">
        <f>1-AU106</f>
        <v>1</v>
      </c>
      <c r="AV107">
        <f>1-AV106</f>
        <v>1</v>
      </c>
      <c r="AW107" s="14">
        <f>1-AW106</f>
        <v>1</v>
      </c>
    </row>
    <row r="108" spans="20:50" x14ac:dyDescent="0.3">
      <c r="T108" s="209"/>
      <c r="V108" s="2"/>
      <c r="AA108" s="14"/>
      <c r="AE108" s="209"/>
      <c r="AG108" s="2"/>
      <c r="AL108" s="14"/>
      <c r="AP108" s="209"/>
      <c r="AR108" s="2"/>
      <c r="AW108" s="14"/>
    </row>
    <row r="109" spans="20:50" x14ac:dyDescent="0.3">
      <c r="T109" s="209"/>
      <c r="U109" t="s">
        <v>18</v>
      </c>
      <c r="V109" s="153" t="s">
        <v>0</v>
      </c>
      <c r="W109" s="152">
        <v>0.32150000000000001</v>
      </c>
      <c r="X109" s="152">
        <v>0.13519999999999999</v>
      </c>
      <c r="Y109" s="152">
        <v>1.38E-2</v>
      </c>
      <c r="Z109" s="152">
        <v>0.1177</v>
      </c>
      <c r="AA109" s="151">
        <v>0.21609999999999999</v>
      </c>
      <c r="AE109" s="209"/>
      <c r="AF109" t="s">
        <v>18</v>
      </c>
      <c r="AG109" s="153" t="s">
        <v>0</v>
      </c>
      <c r="AH109" s="152">
        <v>0.32150000000000001</v>
      </c>
      <c r="AI109" s="152">
        <v>0.13519999999999999</v>
      </c>
      <c r="AJ109" s="152">
        <v>1.38E-2</v>
      </c>
      <c r="AK109" s="152">
        <v>0.1177</v>
      </c>
      <c r="AL109" s="151">
        <v>0.21609999999999999</v>
      </c>
      <c r="AP109" s="209"/>
      <c r="AQ109" t="s">
        <v>18</v>
      </c>
      <c r="AR109" s="153" t="s">
        <v>0</v>
      </c>
      <c r="AS109" s="152">
        <v>0.32150000000000001</v>
      </c>
      <c r="AT109" s="152">
        <v>0.13519999999999999</v>
      </c>
      <c r="AU109" s="152">
        <v>1.38E-2</v>
      </c>
      <c r="AV109" s="152">
        <v>0.1177</v>
      </c>
      <c r="AW109" s="151">
        <v>0.21609999999999999</v>
      </c>
    </row>
    <row r="110" spans="20:50" x14ac:dyDescent="0.3">
      <c r="T110" s="209"/>
      <c r="U110" t="s">
        <v>164</v>
      </c>
      <c r="V110" s="149" t="s">
        <v>0</v>
      </c>
      <c r="W110" s="148">
        <v>-9.7999999999999997E-3</v>
      </c>
      <c r="X110" s="148">
        <v>0.10780000000000001</v>
      </c>
      <c r="Y110" s="148">
        <v>-1.4999999999999999E-2</v>
      </c>
      <c r="Z110" s="148">
        <v>0.1152</v>
      </c>
      <c r="AA110" s="147">
        <v>9.2299999999999993E-2</v>
      </c>
      <c r="AE110" s="209"/>
      <c r="AF110" t="s">
        <v>163</v>
      </c>
      <c r="AG110" s="146" t="s">
        <v>0</v>
      </c>
      <c r="AH110" s="182">
        <v>-6.2089486867026575E-2</v>
      </c>
      <c r="AI110" s="182">
        <v>0.14612169449722551</v>
      </c>
      <c r="AJ110" s="182">
        <v>8.8452476082614279E-4</v>
      </c>
      <c r="AK110" s="182">
        <v>5.4541790676526578E-2</v>
      </c>
      <c r="AL110" s="181">
        <v>8.9528786541844152E-2</v>
      </c>
      <c r="AP110" s="209"/>
      <c r="AQ110" t="s">
        <v>163</v>
      </c>
      <c r="AR110" s="146" t="s">
        <v>0</v>
      </c>
      <c r="AS110" s="182">
        <v>-6.2089486867026575E-2</v>
      </c>
      <c r="AT110" s="182">
        <v>0.14612169449722551</v>
      </c>
      <c r="AU110" s="182">
        <v>8.8452476082614279E-4</v>
      </c>
      <c r="AV110" s="182">
        <v>5.4541790676526578E-2</v>
      </c>
      <c r="AW110" s="181">
        <v>8.9528786541844152E-2</v>
      </c>
    </row>
    <row r="111" spans="20:50" x14ac:dyDescent="0.3">
      <c r="T111" s="209"/>
      <c r="U111" t="s">
        <v>16</v>
      </c>
      <c r="V111" s="2" t="s">
        <v>0</v>
      </c>
      <c r="W111" s="31">
        <f>W106*W109+W107*W110</f>
        <v>0.18897999999999998</v>
      </c>
      <c r="X111" s="31">
        <f>X106*X109+X107*X110</f>
        <v>0.12423999999999999</v>
      </c>
      <c r="Y111" s="31">
        <f>Y106*Y109+Y107*Y110</f>
        <v>2.279999999999999E-3</v>
      </c>
      <c r="Z111" s="31">
        <f>Z106*Z109+Z107*Z110</f>
        <v>0.1167</v>
      </c>
      <c r="AA111" s="34">
        <f>AA106*AA109+AA107*AA110</f>
        <v>0.16658000000000001</v>
      </c>
      <c r="AE111" s="209"/>
      <c r="AF111" t="s">
        <v>16</v>
      </c>
      <c r="AG111" s="2" t="s">
        <v>0</v>
      </c>
      <c r="AH111" s="31">
        <f>AH106*AH109+AH107*AH110</f>
        <v>-6.2089486867026575E-2</v>
      </c>
      <c r="AI111" s="31">
        <f>AI106*AI109+AI107*AI110</f>
        <v>0.14612169449722551</v>
      </c>
      <c r="AJ111" s="31">
        <f>AJ106*AJ109+AJ107*AJ110</f>
        <v>8.8452476082614279E-4</v>
      </c>
      <c r="AK111" s="31">
        <f>AK106*AK109+AK107*AK110</f>
        <v>5.4541790676526578E-2</v>
      </c>
      <c r="AL111" s="34">
        <f>AL106*AL109+AL107*AL110</f>
        <v>8.9528786541844152E-2</v>
      </c>
      <c r="AP111" s="209"/>
      <c r="AQ111" t="s">
        <v>16</v>
      </c>
      <c r="AR111" s="2" t="s">
        <v>0</v>
      </c>
      <c r="AS111" s="31">
        <f>AS106*AS109+AS107*AS110</f>
        <v>0.16806420525318935</v>
      </c>
      <c r="AT111" s="31">
        <f>AT106*AT109+AT107*AT110</f>
        <v>0.14612169449722551</v>
      </c>
      <c r="AU111" s="31">
        <f>AU106*AU109+AU107*AU110</f>
        <v>8.8452476082614279E-4</v>
      </c>
      <c r="AV111" s="31">
        <f>AV106*AV109+AV107*AV110</f>
        <v>5.4541790676526578E-2</v>
      </c>
      <c r="AW111" s="34">
        <f>AW106*AW109+AW107*AW110</f>
        <v>8.9528786541844152E-2</v>
      </c>
    </row>
    <row r="112" spans="20:50" x14ac:dyDescent="0.3">
      <c r="T112" s="209"/>
      <c r="AA112" s="14"/>
      <c r="AE112" s="209"/>
      <c r="AL112" s="14"/>
      <c r="AP112" s="209"/>
      <c r="AW112" s="14"/>
    </row>
    <row r="113" spans="20:50" x14ac:dyDescent="0.3">
      <c r="T113" s="209"/>
      <c r="U113" t="s">
        <v>17</v>
      </c>
      <c r="V113" s="155">
        <v>3.5900000000000001E-2</v>
      </c>
      <c r="W113" s="155">
        <v>4.4999999999999998E-2</v>
      </c>
      <c r="X113" s="155">
        <v>3.6499999999999998E-2</v>
      </c>
      <c r="Y113" s="155">
        <v>3.9699999999999999E-2</v>
      </c>
      <c r="Z113" s="155">
        <v>3.8399999999999997E-2</v>
      </c>
      <c r="AA113" s="154">
        <v>3.4000000000000002E-2</v>
      </c>
      <c r="AE113" s="209"/>
      <c r="AF113" t="s">
        <v>17</v>
      </c>
      <c r="AG113" s="155">
        <v>3.5900000000000001E-2</v>
      </c>
      <c r="AH113" s="155">
        <v>4.4999999999999998E-2</v>
      </c>
      <c r="AI113" s="155">
        <v>3.6499999999999998E-2</v>
      </c>
      <c r="AJ113" s="155">
        <v>3.9699999999999999E-2</v>
      </c>
      <c r="AK113" s="155">
        <v>3.8399999999999997E-2</v>
      </c>
      <c r="AL113" s="154">
        <v>3.4000000000000002E-2</v>
      </c>
      <c r="AP113" s="209"/>
      <c r="AQ113" t="s">
        <v>17</v>
      </c>
      <c r="AR113" s="155">
        <f t="shared" ref="AR113:AW113" si="20">AG113</f>
        <v>3.5900000000000001E-2</v>
      </c>
      <c r="AS113" s="155">
        <f t="shared" si="20"/>
        <v>4.4999999999999998E-2</v>
      </c>
      <c r="AT113" s="155">
        <f t="shared" si="20"/>
        <v>3.6499999999999998E-2</v>
      </c>
      <c r="AU113" s="155">
        <f t="shared" si="20"/>
        <v>3.9699999999999999E-2</v>
      </c>
      <c r="AV113" s="155">
        <f t="shared" si="20"/>
        <v>3.8399999999999997E-2</v>
      </c>
      <c r="AW113" s="154">
        <f t="shared" si="20"/>
        <v>3.4000000000000002E-2</v>
      </c>
    </row>
    <row r="114" spans="20:50" x14ac:dyDescent="0.3">
      <c r="T114" s="209"/>
      <c r="U114" t="s">
        <v>177</v>
      </c>
      <c r="V114" s="2" t="s">
        <v>0</v>
      </c>
      <c r="W114">
        <v>12</v>
      </c>
      <c r="X114">
        <v>12</v>
      </c>
      <c r="Y114">
        <v>12</v>
      </c>
      <c r="Z114">
        <v>12</v>
      </c>
      <c r="AA114" s="14">
        <v>12</v>
      </c>
      <c r="AE114" s="209"/>
      <c r="AF114" t="s">
        <v>177</v>
      </c>
      <c r="AG114" s="2" t="s">
        <v>0</v>
      </c>
      <c r="AH114">
        <v>12</v>
      </c>
      <c r="AI114">
        <v>12</v>
      </c>
      <c r="AJ114">
        <v>12</v>
      </c>
      <c r="AK114">
        <v>12</v>
      </c>
      <c r="AL114" s="14">
        <v>12</v>
      </c>
      <c r="AP114" s="209"/>
      <c r="AQ114" t="s">
        <v>177</v>
      </c>
      <c r="AR114" s="2" t="s">
        <v>0</v>
      </c>
      <c r="AS114">
        <v>12</v>
      </c>
      <c r="AT114">
        <v>12</v>
      </c>
      <c r="AU114">
        <v>12</v>
      </c>
      <c r="AV114">
        <v>12</v>
      </c>
      <c r="AW114" s="14">
        <v>12</v>
      </c>
    </row>
    <row r="115" spans="20:50" x14ac:dyDescent="0.3">
      <c r="T115" s="209"/>
      <c r="AA115" s="14"/>
      <c r="AE115" s="209"/>
      <c r="AL115" s="14"/>
      <c r="AP115" s="209"/>
      <c r="AW115" s="14"/>
    </row>
    <row r="116" spans="20:50" x14ac:dyDescent="0.3">
      <c r="T116" s="209"/>
      <c r="U116" t="s">
        <v>176</v>
      </c>
      <c r="V116" s="2" t="s">
        <v>0</v>
      </c>
      <c r="W116" s="175">
        <f>$C$10</f>
        <v>25000000</v>
      </c>
      <c r="X116" s="164">
        <f>W116</f>
        <v>25000000</v>
      </c>
      <c r="Y116" s="164">
        <f>X116</f>
        <v>25000000</v>
      </c>
      <c r="Z116" s="164">
        <f>Y116</f>
        <v>25000000</v>
      </c>
      <c r="AA116" s="163">
        <f>Z116</f>
        <v>25000000</v>
      </c>
      <c r="AB116" s="175">
        <f>W116</f>
        <v>25000000</v>
      </c>
      <c r="AC116" s="164"/>
      <c r="AE116" s="209"/>
      <c r="AF116" t="s">
        <v>176</v>
      </c>
      <c r="AG116" s="2" t="s">
        <v>0</v>
      </c>
      <c r="AH116" s="175">
        <f>$C$10</f>
        <v>25000000</v>
      </c>
      <c r="AI116" s="175">
        <f>AH116</f>
        <v>25000000</v>
      </c>
      <c r="AJ116" s="175">
        <f>AI116</f>
        <v>25000000</v>
      </c>
      <c r="AK116" s="175">
        <f>AJ116</f>
        <v>25000000</v>
      </c>
      <c r="AL116" s="180">
        <f>AK116</f>
        <v>25000000</v>
      </c>
      <c r="AM116" s="175">
        <f>SUM(AH116:AL116)</f>
        <v>125000000</v>
      </c>
      <c r="AP116" s="209"/>
      <c r="AQ116" t="s">
        <v>176</v>
      </c>
      <c r="AR116" s="2" t="s">
        <v>0</v>
      </c>
      <c r="AS116" s="175">
        <f>$C$10</f>
        <v>25000000</v>
      </c>
      <c r="AT116" s="164">
        <f>AS116</f>
        <v>25000000</v>
      </c>
      <c r="AU116" s="164">
        <f>AT116</f>
        <v>25000000</v>
      </c>
      <c r="AV116" s="164">
        <f>AU116</f>
        <v>25000000</v>
      </c>
      <c r="AW116" s="163">
        <f>AV116</f>
        <v>25000000</v>
      </c>
      <c r="AX116" s="175">
        <f>AS116</f>
        <v>25000000</v>
      </c>
    </row>
    <row r="117" spans="20:50" x14ac:dyDescent="0.3">
      <c r="T117" s="209"/>
      <c r="U117" t="s">
        <v>174</v>
      </c>
      <c r="V117" s="2" t="s">
        <v>0</v>
      </c>
      <c r="W117" s="17">
        <f>$C$12</f>
        <v>5000000</v>
      </c>
      <c r="X117" s="17">
        <f>$C$13</f>
        <v>5500000</v>
      </c>
      <c r="Y117" s="17">
        <f>$C$14</f>
        <v>6500000</v>
      </c>
      <c r="Z117" s="17">
        <f>$C$15</f>
        <v>7000000</v>
      </c>
      <c r="AA117" s="18">
        <f>$C$16</f>
        <v>8000000</v>
      </c>
      <c r="AE117" s="209"/>
      <c r="AF117" t="s">
        <v>174</v>
      </c>
      <c r="AG117" s="2" t="s">
        <v>0</v>
      </c>
      <c r="AH117" s="17">
        <f>$C$12</f>
        <v>5000000</v>
      </c>
      <c r="AI117" s="17">
        <f>$C$13</f>
        <v>5500000</v>
      </c>
      <c r="AJ117" s="17">
        <f>$C$14</f>
        <v>6500000</v>
      </c>
      <c r="AK117" s="17">
        <f>$C$15</f>
        <v>7000000</v>
      </c>
      <c r="AL117" s="18">
        <f>$C$16</f>
        <v>8000000</v>
      </c>
      <c r="AP117" s="209"/>
      <c r="AQ117" t="s">
        <v>174</v>
      </c>
      <c r="AR117" s="2" t="s">
        <v>0</v>
      </c>
      <c r="AS117" s="17">
        <f>$C$12</f>
        <v>5000000</v>
      </c>
      <c r="AT117" s="17">
        <f>$C$13</f>
        <v>5500000</v>
      </c>
      <c r="AU117" s="17">
        <f>$C$14</f>
        <v>6500000</v>
      </c>
      <c r="AV117" s="17">
        <f>$C$15</f>
        <v>7000000</v>
      </c>
      <c r="AW117" s="18">
        <f>$C$16</f>
        <v>8000000</v>
      </c>
    </row>
    <row r="118" spans="20:50" x14ac:dyDescent="0.3">
      <c r="T118" s="209"/>
      <c r="AA118" s="14"/>
      <c r="AE118" s="209"/>
      <c r="AL118" s="14"/>
      <c r="AP118" s="209"/>
      <c r="AW118" s="14"/>
    </row>
    <row r="119" spans="20:50" x14ac:dyDescent="0.3">
      <c r="T119" s="209"/>
      <c r="U119" t="s">
        <v>171</v>
      </c>
      <c r="V119" s="17">
        <f>$C$8</f>
        <v>500000000</v>
      </c>
      <c r="W119" s="7">
        <f>(V119*(1+V113)-W117*(1+V113)^0.5)*(1+W114/100)^((V113-W113)*100)</f>
        <v>462606051.08655697</v>
      </c>
      <c r="X119" s="7">
        <f>(W119*(1+W113)-X117*(1+W113)^0.5)*(1+X114/100)^((W113-X113)*100)</f>
        <v>526116975.29284239</v>
      </c>
      <c r="Y119" s="7">
        <f>(X119*(1+X113)-Y117*(1+X113)^0.5)*(1+Y114/100)^((X113-Y113)*100)</f>
        <v>519516530.96014446</v>
      </c>
      <c r="Z119" s="7">
        <f>(Y119*(1+Y113)-Z117*(1+Y113)^0.5)*(1+Z114/100)^((Y113-Z113)*100)</f>
        <v>540914469.53721464</v>
      </c>
      <c r="AA119" s="15">
        <f>(Z119*(1+Z113)-AA117*(1+Z113)^0.5)*(1+AA114/100)^((Z113-AA113)*100)</f>
        <v>581834924.77008593</v>
      </c>
      <c r="AE119" s="209"/>
      <c r="AF119" t="s">
        <v>171</v>
      </c>
      <c r="AG119" s="17">
        <f>$C$8</f>
        <v>500000000</v>
      </c>
      <c r="AH119" s="7">
        <f>(AG119*(1+AG113)-AH117*(1+AG113)^0.5)*(1+AH114/100)^((AG113-AH113)*100)</f>
        <v>462606051.08655697</v>
      </c>
      <c r="AI119" s="7">
        <f>(AH119*(1+AH113)-AI117*(1+AH113)^0.5)*(1+AI114/100)^((AH113-AI113)*100)</f>
        <v>526116975.29284239</v>
      </c>
      <c r="AJ119" s="7">
        <f>(AI119*(1+AI113)-AJ117*(1+AI113)^0.5)*(1+AJ114/100)^((AI113-AJ113)*100)</f>
        <v>519516530.96014446</v>
      </c>
      <c r="AK119" s="7">
        <f>(AJ119*(1+AJ113)-AK117*(1+AJ113)^0.5)*(1+AK114/100)^((AJ113-AK113)*100)</f>
        <v>540914469.53721464</v>
      </c>
      <c r="AL119" s="15">
        <f>(AK119*(1+AK113)-AL117*(1+AK113)^0.5)*(1+AL114/100)^((AK113-AL113)*100)</f>
        <v>581834924.77008593</v>
      </c>
      <c r="AP119" s="209"/>
      <c r="AQ119" t="s">
        <v>171</v>
      </c>
      <c r="AR119" s="17">
        <f>$C$8</f>
        <v>500000000</v>
      </c>
      <c r="AS119" s="7">
        <f>(AR119*(1+AR113)-AS117*(1+AR113)^0.5)*(1+AS114/100)^((AR113-AS113)*100)</f>
        <v>462606051.08655697</v>
      </c>
      <c r="AT119" s="7">
        <f>(AS119*(1+AS113)-AT117*(1+AS113)^0.5)*(1+AT114/100)^((AS113-AT113)*100)</f>
        <v>526116975.29284239</v>
      </c>
      <c r="AU119" s="7">
        <f>(AT119*(1+AT113)-AU117*(1+AT113)^0.5)*(1+AU114/100)^((AT113-AU113)*100)</f>
        <v>519516530.96014446</v>
      </c>
      <c r="AV119" s="7">
        <f>(AU119*(1+AU113)-AV117*(1+AU113)^0.5)*(1+AV114/100)^((AU113-AV113)*100)</f>
        <v>540914469.53721464</v>
      </c>
      <c r="AW119" s="15">
        <f>(AV119*(1+AV113)-AW117*(1+AV113)^0.5)*(1+AW114/100)^((AV113-AW113)*100)</f>
        <v>581834924.77008593</v>
      </c>
    </row>
    <row r="120" spans="20:50" x14ac:dyDescent="0.3">
      <c r="T120" s="209"/>
      <c r="U120" t="s">
        <v>170</v>
      </c>
      <c r="V120" s="7">
        <f>$C$9</f>
        <v>425000000</v>
      </c>
      <c r="W120" s="7">
        <f>V120*(1+W111)+(W116-W117)*(1+W111)^0.5</f>
        <v>527124571.90010154</v>
      </c>
      <c r="X120" s="7">
        <f>W120*(1+X111)+(X116-X117)*(1+X111)^0.5</f>
        <v>613290414.6673857</v>
      </c>
      <c r="Y120" s="7">
        <f>X120*(1+Y111)+(Y116-Y117)*(1+Y111)^0.5</f>
        <v>633209794.80521214</v>
      </c>
      <c r="Z120" s="7">
        <f>Y120*(1+Z111)+(Z116-Z117)*(1+Z111)^0.5</f>
        <v>726126702.73397267</v>
      </c>
      <c r="AA120" s="15">
        <f>Z120*(1+AA111)+(AA116-AA117)*(1+AA111)^0.5</f>
        <v>865446305.48741329</v>
      </c>
      <c r="AE120" s="209"/>
      <c r="AF120" t="s">
        <v>170</v>
      </c>
      <c r="AG120" s="7">
        <f>$C$9</f>
        <v>425000000</v>
      </c>
      <c r="AH120" s="7">
        <f>AG120*(1+AH111)+(AH116-AH117)*(1+AH111)^0.5</f>
        <v>417981124.10993141</v>
      </c>
      <c r="AI120" s="7">
        <f>AH120*(1+AI111)+(AI116-AI117)*(1+AI111)^0.5</f>
        <v>499933363.5275144</v>
      </c>
      <c r="AJ120" s="7">
        <f>AI120*(1+AJ111)+(AJ116-AJ117)*(1+AJ111)^0.5</f>
        <v>518883747.0118919</v>
      </c>
      <c r="AK120" s="7">
        <f>AJ120*(1+AK111)+(AK116-AK117)*(1+AK111)^0.5</f>
        <v>565668955.06602645</v>
      </c>
      <c r="AL120" s="15">
        <f>AK120*(1+AL111)+(AL116-AL117)*(1+AL111)^0.5</f>
        <v>634057294.4525075</v>
      </c>
      <c r="AP120" s="209"/>
      <c r="AQ120" t="s">
        <v>170</v>
      </c>
      <c r="AR120" s="7">
        <f>$C$9</f>
        <v>425000000</v>
      </c>
      <c r="AS120" s="7">
        <f>AR120*(1+AS111)+(AS116-AS117)*(1+AS111)^0.5</f>
        <v>518042691.04797</v>
      </c>
      <c r="AT120" s="7">
        <f>AS120*(1+AT111)+(AT116-AT117)*(1+AT111)^0.5</f>
        <v>614616096.18058681</v>
      </c>
      <c r="AU120" s="7">
        <f>AT120*(1+AU111)+(AU116-AU117)*(1+AU111)^0.5</f>
        <v>633667919.38163519</v>
      </c>
      <c r="AV120" s="7">
        <f>AU120*(1+AV111)+(AV116-AV117)*(1+AV111)^0.5</f>
        <v>686713661.73813856</v>
      </c>
      <c r="AW120" s="15">
        <f>AV120*(1+AW111)+(AW116-AW117)*(1+AW111)^0.5</f>
        <v>765938986.83028722</v>
      </c>
    </row>
    <row r="121" spans="20:50" ht="16.2" x14ac:dyDescent="0.45">
      <c r="T121" s="214"/>
      <c r="U121" s="23" t="s">
        <v>168</v>
      </c>
      <c r="V121" s="26">
        <f t="shared" ref="V121:AA121" si="21">V120/V119</f>
        <v>0.85</v>
      </c>
      <c r="W121" s="179">
        <f t="shared" si="21"/>
        <v>1.139467524607612</v>
      </c>
      <c r="X121" s="26">
        <f t="shared" si="21"/>
        <v>1.1656921245052427</v>
      </c>
      <c r="Y121" s="26">
        <f t="shared" si="21"/>
        <v>1.2188443621513747</v>
      </c>
      <c r="Z121" s="26">
        <f t="shared" si="21"/>
        <v>1.3424057658417206</v>
      </c>
      <c r="AA121" s="27">
        <f t="shared" si="21"/>
        <v>1.4874430334847937</v>
      </c>
      <c r="AB121" s="176">
        <f>1.1*W119-W120</f>
        <v>-18257915.704888821</v>
      </c>
      <c r="AC121" s="178"/>
      <c r="AE121" s="214"/>
      <c r="AF121" s="23" t="s">
        <v>168</v>
      </c>
      <c r="AG121" s="26">
        <f t="shared" ref="AG121:AL121" si="22">AG120/AG119</f>
        <v>0.85</v>
      </c>
      <c r="AH121" s="26">
        <f t="shared" si="22"/>
        <v>0.90353579061101408</v>
      </c>
      <c r="AI121" s="26">
        <f t="shared" si="22"/>
        <v>0.95023233806369034</v>
      </c>
      <c r="AJ121" s="26">
        <f t="shared" si="22"/>
        <v>0.99878197533563928</v>
      </c>
      <c r="AK121" s="26">
        <f t="shared" si="22"/>
        <v>1.0457641400312156</v>
      </c>
      <c r="AL121" s="45">
        <f t="shared" si="22"/>
        <v>1.0897546150277202</v>
      </c>
      <c r="AM121" s="176">
        <f>1.1*AL119-AL120</f>
        <v>5961122.7945871353</v>
      </c>
      <c r="AP121" s="214"/>
      <c r="AQ121" s="23" t="s">
        <v>168</v>
      </c>
      <c r="AR121" s="51">
        <f t="shared" ref="AR121:AW121" si="23">AR120/AR119</f>
        <v>0.85</v>
      </c>
      <c r="AS121" s="177">
        <f t="shared" si="23"/>
        <v>1.1198355270779639</v>
      </c>
      <c r="AT121" s="51">
        <f t="shared" si="23"/>
        <v>1.16821187120694</v>
      </c>
      <c r="AU121" s="51">
        <f t="shared" si="23"/>
        <v>1.2197261908307746</v>
      </c>
      <c r="AV121" s="51">
        <f t="shared" si="23"/>
        <v>1.2695420448368926</v>
      </c>
      <c r="AW121" s="50">
        <f t="shared" si="23"/>
        <v>1.3164197510710631</v>
      </c>
      <c r="AX121" s="176">
        <f>1.1*AS119-AS120</f>
        <v>-9176034.8527572751</v>
      </c>
    </row>
    <row r="122" spans="20:50" x14ac:dyDescent="0.3">
      <c r="AB122" s="175">
        <f>AB116+AB121</f>
        <v>6742084.2951111794</v>
      </c>
      <c r="AC122" s="164"/>
      <c r="AM122" s="175">
        <f>AM116+AM121</f>
        <v>130961122.79458714</v>
      </c>
      <c r="AX122" s="175">
        <f>AX116+AX121</f>
        <v>15823965.147242725</v>
      </c>
    </row>
    <row r="124" spans="20:50" x14ac:dyDescent="0.3">
      <c r="T124" s="167"/>
      <c r="V124" s="9" t="s">
        <v>189</v>
      </c>
      <c r="W124" s="49" t="s">
        <v>95</v>
      </c>
      <c r="X124" s="49" t="s">
        <v>102</v>
      </c>
      <c r="Y124" s="49" t="s">
        <v>93</v>
      </c>
      <c r="Z124" s="49" t="s">
        <v>92</v>
      </c>
      <c r="AA124" s="49" t="s">
        <v>91</v>
      </c>
      <c r="AE124" s="167"/>
      <c r="AG124" s="9" t="s">
        <v>189</v>
      </c>
      <c r="AH124" s="49" t="s">
        <v>95</v>
      </c>
      <c r="AI124" s="49" t="s">
        <v>102</v>
      </c>
      <c r="AJ124" s="49" t="s">
        <v>93</v>
      </c>
      <c r="AK124" s="49" t="s">
        <v>92</v>
      </c>
      <c r="AL124" s="49" t="s">
        <v>91</v>
      </c>
      <c r="AP124" s="167"/>
      <c r="AR124" s="9" t="s">
        <v>189</v>
      </c>
      <c r="AS124" s="49" t="s">
        <v>95</v>
      </c>
      <c r="AT124" s="49" t="s">
        <v>102</v>
      </c>
      <c r="AU124" s="49" t="s">
        <v>93</v>
      </c>
      <c r="AV124" s="49" t="s">
        <v>92</v>
      </c>
      <c r="AW124" s="49" t="s">
        <v>91</v>
      </c>
    </row>
    <row r="125" spans="20:50" x14ac:dyDescent="0.3">
      <c r="T125" s="213" t="s">
        <v>121</v>
      </c>
      <c r="U125" s="11" t="s">
        <v>188</v>
      </c>
      <c r="V125" s="165" t="s">
        <v>0</v>
      </c>
      <c r="W125" s="11">
        <f>0.6</f>
        <v>0.6</v>
      </c>
      <c r="X125" s="11">
        <f>0.6</f>
        <v>0.6</v>
      </c>
      <c r="Y125" s="11">
        <f>0.6</f>
        <v>0.6</v>
      </c>
      <c r="Z125" s="11">
        <f>0.6</f>
        <v>0.6</v>
      </c>
      <c r="AA125" s="12">
        <f>0.6</f>
        <v>0.6</v>
      </c>
      <c r="AE125" s="213" t="s">
        <v>121</v>
      </c>
      <c r="AF125" s="11" t="s">
        <v>188</v>
      </c>
      <c r="AG125" s="165" t="s">
        <v>0</v>
      </c>
      <c r="AH125" s="11">
        <v>0</v>
      </c>
      <c r="AI125" s="11">
        <v>0</v>
      </c>
      <c r="AJ125" s="11">
        <v>0</v>
      </c>
      <c r="AK125" s="11">
        <v>0</v>
      </c>
      <c r="AL125" s="12">
        <v>0</v>
      </c>
      <c r="AP125" s="213" t="s">
        <v>121</v>
      </c>
      <c r="AQ125" s="11" t="s">
        <v>188</v>
      </c>
      <c r="AR125" s="165" t="s">
        <v>0</v>
      </c>
      <c r="AS125" s="11">
        <f>VLOOKUP(AR140,$F$8:$H$17,2,TRUE)</f>
        <v>0.6</v>
      </c>
      <c r="AT125" s="11">
        <f>VLOOKUP(AS140,$F$8:$H$17,2,TRUE)</f>
        <v>0.5</v>
      </c>
      <c r="AU125" s="11">
        <f>VLOOKUP(AT140,$F$8:$H$17,2,TRUE)</f>
        <v>0</v>
      </c>
      <c r="AV125" s="11">
        <f>VLOOKUP(AU140,$F$8:$H$17,2,TRUE)</f>
        <v>0</v>
      </c>
      <c r="AW125" s="12">
        <f>VLOOKUP(AV140,$F$8:$H$17,2,TRUE)</f>
        <v>0</v>
      </c>
    </row>
    <row r="126" spans="20:50" x14ac:dyDescent="0.3">
      <c r="T126" s="209"/>
      <c r="U126" t="s">
        <v>186</v>
      </c>
      <c r="V126" s="2" t="s">
        <v>0</v>
      </c>
      <c r="W126">
        <f>1-W125</f>
        <v>0.4</v>
      </c>
      <c r="X126">
        <f>1-X125</f>
        <v>0.4</v>
      </c>
      <c r="Y126">
        <f>1-Y125</f>
        <v>0.4</v>
      </c>
      <c r="Z126">
        <f>1-Z125</f>
        <v>0.4</v>
      </c>
      <c r="AA126" s="14">
        <f>1-AA125</f>
        <v>0.4</v>
      </c>
      <c r="AE126" s="209"/>
      <c r="AF126" t="s">
        <v>163</v>
      </c>
      <c r="AG126" s="2" t="s">
        <v>0</v>
      </c>
      <c r="AH126">
        <f>1-AH125</f>
        <v>1</v>
      </c>
      <c r="AI126">
        <f>1-AI125</f>
        <v>1</v>
      </c>
      <c r="AJ126">
        <f>1-AJ125</f>
        <v>1</v>
      </c>
      <c r="AK126">
        <f>1-AK125</f>
        <v>1</v>
      </c>
      <c r="AL126" s="14">
        <f>1-AL125</f>
        <v>1</v>
      </c>
      <c r="AP126" s="209"/>
      <c r="AQ126" t="s">
        <v>163</v>
      </c>
      <c r="AR126" s="2" t="s">
        <v>0</v>
      </c>
      <c r="AS126">
        <f>1-AS125</f>
        <v>0.4</v>
      </c>
      <c r="AT126">
        <f>1-AT125</f>
        <v>0.5</v>
      </c>
      <c r="AU126">
        <f>1-AU125</f>
        <v>1</v>
      </c>
      <c r="AV126">
        <f>1-AV125</f>
        <v>1</v>
      </c>
      <c r="AW126" s="14">
        <f>1-AW125</f>
        <v>1</v>
      </c>
    </row>
    <row r="127" spans="20:50" x14ac:dyDescent="0.3">
      <c r="T127" s="209"/>
      <c r="V127" s="2"/>
      <c r="AA127" s="14"/>
      <c r="AE127" s="209"/>
      <c r="AG127" s="2"/>
      <c r="AL127" s="14"/>
      <c r="AP127" s="209"/>
      <c r="AR127" s="2"/>
      <c r="AW127" s="14"/>
    </row>
    <row r="128" spans="20:50" x14ac:dyDescent="0.3">
      <c r="T128" s="209"/>
      <c r="U128" t="s">
        <v>18</v>
      </c>
      <c r="V128" s="153" t="s">
        <v>0</v>
      </c>
      <c r="W128" s="152">
        <v>0.15890000000000001</v>
      </c>
      <c r="X128" s="152">
        <v>0.32150000000000001</v>
      </c>
      <c r="Y128" s="152">
        <v>0.13519999999999999</v>
      </c>
      <c r="Z128" s="152">
        <v>1.38E-2</v>
      </c>
      <c r="AA128" s="151">
        <v>0.1177</v>
      </c>
      <c r="AE128" s="209"/>
      <c r="AF128" t="s">
        <v>18</v>
      </c>
      <c r="AG128" s="153" t="s">
        <v>0</v>
      </c>
      <c r="AH128" s="152">
        <v>0.15890000000000001</v>
      </c>
      <c r="AI128" s="152">
        <v>0.32150000000000001</v>
      </c>
      <c r="AJ128" s="152">
        <v>0.13519999999999999</v>
      </c>
      <c r="AK128" s="152">
        <v>1.38E-2</v>
      </c>
      <c r="AL128" s="151">
        <v>0.1177</v>
      </c>
      <c r="AP128" s="209"/>
      <c r="AQ128" t="s">
        <v>18</v>
      </c>
      <c r="AR128" s="153" t="s">
        <v>0</v>
      </c>
      <c r="AS128" s="152">
        <v>0.15890000000000001</v>
      </c>
      <c r="AT128" s="152">
        <v>0.32150000000000001</v>
      </c>
      <c r="AU128" s="152">
        <v>0.13519999999999999</v>
      </c>
      <c r="AV128" s="152">
        <v>1.38E-2</v>
      </c>
      <c r="AW128" s="151">
        <v>0.1177</v>
      </c>
    </row>
    <row r="129" spans="20:50" x14ac:dyDescent="0.3">
      <c r="T129" s="209"/>
      <c r="U129" t="s">
        <v>164</v>
      </c>
      <c r="V129" s="149" t="s">
        <v>0</v>
      </c>
      <c r="W129" s="148">
        <v>9.3299999999999994E-2</v>
      </c>
      <c r="X129" s="148">
        <v>-9.7999999999999997E-3</v>
      </c>
      <c r="Y129" s="148">
        <v>0.10780000000000001</v>
      </c>
      <c r="Z129" s="148">
        <v>-1.4999999999999999E-2</v>
      </c>
      <c r="AA129" s="147">
        <v>0.1152</v>
      </c>
      <c r="AE129" s="209"/>
      <c r="AF129" t="s">
        <v>163</v>
      </c>
      <c r="AG129" s="146" t="s">
        <v>0</v>
      </c>
      <c r="AH129" s="182">
        <v>9.7901845706616586E-2</v>
      </c>
      <c r="AI129" s="182">
        <v>-6.2089486867026575E-2</v>
      </c>
      <c r="AJ129" s="182">
        <v>0.14612169449722551</v>
      </c>
      <c r="AK129" s="182">
        <v>8.8452476082614279E-4</v>
      </c>
      <c r="AL129" s="181">
        <v>5.4541790676526578E-2</v>
      </c>
      <c r="AP129" s="209"/>
      <c r="AQ129" t="s">
        <v>163</v>
      </c>
      <c r="AR129" s="146" t="s">
        <v>0</v>
      </c>
      <c r="AS129" s="182">
        <v>9.7901845706616586E-2</v>
      </c>
      <c r="AT129" s="182">
        <v>-6.2089486867026575E-2</v>
      </c>
      <c r="AU129" s="182">
        <v>0.14612169449722551</v>
      </c>
      <c r="AV129" s="182">
        <v>8.8452476082614279E-4</v>
      </c>
      <c r="AW129" s="181">
        <v>5.4541790676526578E-2</v>
      </c>
    </row>
    <row r="130" spans="20:50" x14ac:dyDescent="0.3">
      <c r="T130" s="209"/>
      <c r="U130" t="s">
        <v>16</v>
      </c>
      <c r="V130" s="2" t="s">
        <v>0</v>
      </c>
      <c r="W130" s="31">
        <f>W125*W128+W126*W129</f>
        <v>0.13266</v>
      </c>
      <c r="X130" s="31">
        <f>X125*X128+X126*X129</f>
        <v>0.18897999999999998</v>
      </c>
      <c r="Y130" s="31">
        <f>Y125*Y128+Y126*Y129</f>
        <v>0.12423999999999999</v>
      </c>
      <c r="Z130" s="31">
        <f>Z125*Z128+Z126*Z129</f>
        <v>2.279999999999999E-3</v>
      </c>
      <c r="AA130" s="34">
        <f>AA125*AA128+AA126*AA129</f>
        <v>0.1167</v>
      </c>
      <c r="AE130" s="209"/>
      <c r="AF130" t="s">
        <v>16</v>
      </c>
      <c r="AG130" s="2" t="s">
        <v>0</v>
      </c>
      <c r="AH130" s="31">
        <f>AH125*AH128+AH126*AH129</f>
        <v>9.7901845706616586E-2</v>
      </c>
      <c r="AI130" s="31">
        <f>AI125*AI128+AI126*AI129</f>
        <v>-6.2089486867026575E-2</v>
      </c>
      <c r="AJ130" s="31">
        <f>AJ125*AJ128+AJ126*AJ129</f>
        <v>0.14612169449722551</v>
      </c>
      <c r="AK130" s="31">
        <f>AK125*AK128+AK126*AK129</f>
        <v>8.8452476082614279E-4</v>
      </c>
      <c r="AL130" s="34">
        <f>AL125*AL128+AL126*AL129</f>
        <v>5.4541790676526578E-2</v>
      </c>
      <c r="AP130" s="209"/>
      <c r="AQ130" t="s">
        <v>16</v>
      </c>
      <c r="AR130" s="2" t="s">
        <v>0</v>
      </c>
      <c r="AS130" s="31">
        <f>AS125*AS128+AS126*AS129</f>
        <v>0.13450073828264664</v>
      </c>
      <c r="AT130" s="31">
        <f>AT125*AT128+AT126*AT129</f>
        <v>0.12970525656648671</v>
      </c>
      <c r="AU130" s="31">
        <f>AU125*AU128+AU126*AU129</f>
        <v>0.14612169449722551</v>
      </c>
      <c r="AV130" s="31">
        <f>AV125*AV128+AV126*AV129</f>
        <v>8.8452476082614279E-4</v>
      </c>
      <c r="AW130" s="34">
        <f>AW125*AW128+AW126*AW129</f>
        <v>5.4541790676526578E-2</v>
      </c>
    </row>
    <row r="131" spans="20:50" x14ac:dyDescent="0.3">
      <c r="T131" s="209"/>
      <c r="AA131" s="14"/>
      <c r="AE131" s="209"/>
      <c r="AL131" s="14"/>
      <c r="AP131" s="209"/>
      <c r="AW131" s="14"/>
    </row>
    <row r="132" spans="20:50" x14ac:dyDescent="0.3">
      <c r="T132" s="209"/>
      <c r="U132" t="s">
        <v>17</v>
      </c>
      <c r="V132" s="155">
        <v>4.0800000000000003E-2</v>
      </c>
      <c r="W132" s="155">
        <v>3.5900000000000001E-2</v>
      </c>
      <c r="X132" s="155">
        <v>4.4999999999999998E-2</v>
      </c>
      <c r="Y132" s="155">
        <v>3.6499999999999998E-2</v>
      </c>
      <c r="Z132" s="155">
        <v>3.9699999999999999E-2</v>
      </c>
      <c r="AA132" s="154">
        <v>3.8399999999999997E-2</v>
      </c>
      <c r="AE132" s="209"/>
      <c r="AF132" t="s">
        <v>17</v>
      </c>
      <c r="AG132" s="155">
        <v>4.0800000000000003E-2</v>
      </c>
      <c r="AH132" s="155">
        <v>3.5900000000000001E-2</v>
      </c>
      <c r="AI132" s="155">
        <v>4.4999999999999998E-2</v>
      </c>
      <c r="AJ132" s="155">
        <v>3.6499999999999998E-2</v>
      </c>
      <c r="AK132" s="155">
        <v>3.9699999999999999E-2</v>
      </c>
      <c r="AL132" s="154">
        <v>3.8399999999999997E-2</v>
      </c>
      <c r="AP132" s="209"/>
      <c r="AQ132" t="s">
        <v>17</v>
      </c>
      <c r="AR132" s="155">
        <f t="shared" ref="AR132:AW132" si="24">AG132</f>
        <v>4.0800000000000003E-2</v>
      </c>
      <c r="AS132" s="155">
        <f t="shared" si="24"/>
        <v>3.5900000000000001E-2</v>
      </c>
      <c r="AT132" s="155">
        <f t="shared" si="24"/>
        <v>4.4999999999999998E-2</v>
      </c>
      <c r="AU132" s="155">
        <f t="shared" si="24"/>
        <v>3.6499999999999998E-2</v>
      </c>
      <c r="AV132" s="155">
        <f t="shared" si="24"/>
        <v>3.9699999999999999E-2</v>
      </c>
      <c r="AW132" s="154">
        <f t="shared" si="24"/>
        <v>3.8399999999999997E-2</v>
      </c>
    </row>
    <row r="133" spans="20:50" x14ac:dyDescent="0.3">
      <c r="T133" s="209"/>
      <c r="U133" t="s">
        <v>177</v>
      </c>
      <c r="V133" s="2" t="s">
        <v>0</v>
      </c>
      <c r="W133">
        <v>12</v>
      </c>
      <c r="X133">
        <v>12</v>
      </c>
      <c r="Y133">
        <v>12</v>
      </c>
      <c r="Z133">
        <v>12</v>
      </c>
      <c r="AA133" s="14">
        <v>12</v>
      </c>
      <c r="AE133" s="209"/>
      <c r="AF133" t="s">
        <v>177</v>
      </c>
      <c r="AG133" s="2" t="s">
        <v>0</v>
      </c>
      <c r="AH133">
        <v>12</v>
      </c>
      <c r="AI133">
        <v>12</v>
      </c>
      <c r="AJ133">
        <v>12</v>
      </c>
      <c r="AK133">
        <v>12</v>
      </c>
      <c r="AL133" s="14">
        <v>12</v>
      </c>
      <c r="AP133" s="209"/>
      <c r="AQ133" t="s">
        <v>177</v>
      </c>
      <c r="AR133" s="2" t="s">
        <v>0</v>
      </c>
      <c r="AS133">
        <v>12</v>
      </c>
      <c r="AT133">
        <v>12</v>
      </c>
      <c r="AU133">
        <v>12</v>
      </c>
      <c r="AV133">
        <v>12</v>
      </c>
      <c r="AW133" s="14">
        <v>12</v>
      </c>
    </row>
    <row r="134" spans="20:50" x14ac:dyDescent="0.3">
      <c r="T134" s="209"/>
      <c r="AA134" s="14"/>
      <c r="AE134" s="209"/>
      <c r="AL134" s="14"/>
      <c r="AP134" s="209"/>
      <c r="AW134" s="14"/>
    </row>
    <row r="135" spans="20:50" x14ac:dyDescent="0.3">
      <c r="T135" s="209"/>
      <c r="U135" t="s">
        <v>176</v>
      </c>
      <c r="V135" s="2" t="s">
        <v>0</v>
      </c>
      <c r="W135" s="175">
        <f>$C$10</f>
        <v>25000000</v>
      </c>
      <c r="X135" s="175">
        <f>W135</f>
        <v>25000000</v>
      </c>
      <c r="Y135" s="164">
        <f>X135</f>
        <v>25000000</v>
      </c>
      <c r="Z135" s="164">
        <f>Y135</f>
        <v>25000000</v>
      </c>
      <c r="AA135" s="163">
        <f>Z135</f>
        <v>25000000</v>
      </c>
      <c r="AB135" s="175">
        <f>SUM(W135:X135)</f>
        <v>50000000</v>
      </c>
      <c r="AC135" s="164"/>
      <c r="AE135" s="209"/>
      <c r="AF135" t="s">
        <v>176</v>
      </c>
      <c r="AG135" s="2" t="s">
        <v>0</v>
      </c>
      <c r="AH135" s="175">
        <f>$C$10</f>
        <v>25000000</v>
      </c>
      <c r="AI135" s="175">
        <f>AH135</f>
        <v>25000000</v>
      </c>
      <c r="AJ135" s="175">
        <f>AI135</f>
        <v>25000000</v>
      </c>
      <c r="AK135" s="175">
        <f>AJ135</f>
        <v>25000000</v>
      </c>
      <c r="AL135" s="180">
        <f>AK135</f>
        <v>25000000</v>
      </c>
      <c r="AM135" s="175">
        <f>SUM(AH135:AL135)</f>
        <v>125000000</v>
      </c>
      <c r="AP135" s="209"/>
      <c r="AQ135" t="s">
        <v>176</v>
      </c>
      <c r="AR135" s="2" t="s">
        <v>0</v>
      </c>
      <c r="AS135" s="175">
        <f>$C$10</f>
        <v>25000000</v>
      </c>
      <c r="AT135" s="175">
        <f>AS135</f>
        <v>25000000</v>
      </c>
      <c r="AU135" s="164">
        <f>AT135</f>
        <v>25000000</v>
      </c>
      <c r="AV135" s="164">
        <f>AU135</f>
        <v>25000000</v>
      </c>
      <c r="AW135" s="163">
        <f>AV135</f>
        <v>25000000</v>
      </c>
      <c r="AX135" s="175">
        <f>SUM(AS135:AT135)</f>
        <v>50000000</v>
      </c>
    </row>
    <row r="136" spans="20:50" x14ac:dyDescent="0.3">
      <c r="T136" s="209"/>
      <c r="U136" t="s">
        <v>174</v>
      </c>
      <c r="V136" s="2" t="s">
        <v>0</v>
      </c>
      <c r="W136" s="17">
        <f>$C$12</f>
        <v>5000000</v>
      </c>
      <c r="X136" s="17">
        <f>$C$13</f>
        <v>5500000</v>
      </c>
      <c r="Y136" s="17">
        <f>$C$14</f>
        <v>6500000</v>
      </c>
      <c r="Z136" s="17">
        <f>$C$15</f>
        <v>7000000</v>
      </c>
      <c r="AA136" s="18">
        <f>$C$16</f>
        <v>8000000</v>
      </c>
      <c r="AE136" s="209"/>
      <c r="AF136" t="s">
        <v>174</v>
      </c>
      <c r="AG136" s="2" t="s">
        <v>0</v>
      </c>
      <c r="AH136" s="17">
        <f>$C$12</f>
        <v>5000000</v>
      </c>
      <c r="AI136" s="17">
        <f>$C$13</f>
        <v>5500000</v>
      </c>
      <c r="AJ136" s="17">
        <f>$C$14</f>
        <v>6500000</v>
      </c>
      <c r="AK136" s="17">
        <f>$C$15</f>
        <v>7000000</v>
      </c>
      <c r="AL136" s="18">
        <f>$C$16</f>
        <v>8000000</v>
      </c>
      <c r="AP136" s="209"/>
      <c r="AQ136" t="s">
        <v>174</v>
      </c>
      <c r="AR136" s="2" t="s">
        <v>0</v>
      </c>
      <c r="AS136" s="17">
        <f>$C$12</f>
        <v>5000000</v>
      </c>
      <c r="AT136" s="17">
        <f>$C$13</f>
        <v>5500000</v>
      </c>
      <c r="AU136" s="17">
        <f>$C$14</f>
        <v>6500000</v>
      </c>
      <c r="AV136" s="17">
        <f>$C$15</f>
        <v>7000000</v>
      </c>
      <c r="AW136" s="18">
        <f>$C$16</f>
        <v>8000000</v>
      </c>
    </row>
    <row r="137" spans="20:50" x14ac:dyDescent="0.3">
      <c r="T137" s="209"/>
      <c r="AA137" s="14"/>
      <c r="AE137" s="209"/>
      <c r="AL137" s="14"/>
      <c r="AP137" s="209"/>
      <c r="AW137" s="14"/>
    </row>
    <row r="138" spans="20:50" x14ac:dyDescent="0.3">
      <c r="T138" s="209"/>
      <c r="U138" t="s">
        <v>171</v>
      </c>
      <c r="V138" s="17">
        <f>$C$8</f>
        <v>500000000</v>
      </c>
      <c r="W138" s="7">
        <f>(V138*(1+V132)-W136*(1+V132)^0.5)*(1+W133/100)^((V132-W132)*100)</f>
        <v>544723544.81785488</v>
      </c>
      <c r="X138" s="7">
        <f>(W138*(1+W132)-X136*(1+W132)^0.5)*(1+X133/100)^((W132-X132)*100)</f>
        <v>503936375.04097801</v>
      </c>
      <c r="Y138" s="7">
        <f>(X138*(1+X132)-Y136*(1+X132)^0.5)*(1+Y133/100)^((X132-Y132)*100)</f>
        <v>572549004.56383717</v>
      </c>
      <c r="Z138" s="7">
        <f>(Y138*(1+Y132)-Z136*(1+Y132)^0.5)*(1+Z133/100)^((Y132-Z132)*100)</f>
        <v>565438357.10096812</v>
      </c>
      <c r="AA138" s="15">
        <f>(Z138*(1+Z132)-AA136*(1+Z132)^0.5)*(1+AA133/100)^((Z132-AA132)*100)</f>
        <v>588333221.98562813</v>
      </c>
      <c r="AE138" s="209"/>
      <c r="AF138" t="s">
        <v>171</v>
      </c>
      <c r="AG138" s="17">
        <f>$C$8</f>
        <v>500000000</v>
      </c>
      <c r="AH138" s="7">
        <f>(AG138*(1+AG132)-AH136*(1+AG132)^0.5)*(1+AH133/100)^((AG132-AH132)*100)</f>
        <v>544723544.81785488</v>
      </c>
      <c r="AI138" s="7">
        <f>(AH138*(1+AH132)-AI136*(1+AH132)^0.5)*(1+AI133/100)^((AH132-AI132)*100)</f>
        <v>503936375.04097801</v>
      </c>
      <c r="AJ138" s="7">
        <f>(AI138*(1+AI132)-AJ136*(1+AI132)^0.5)*(1+AJ133/100)^((AI132-AJ132)*100)</f>
        <v>572549004.56383717</v>
      </c>
      <c r="AK138" s="7">
        <f>(AJ138*(1+AJ132)-AK136*(1+AJ132)^0.5)*(1+AK133/100)^((AJ132-AK132)*100)</f>
        <v>565438357.10096812</v>
      </c>
      <c r="AL138" s="15">
        <f>(AK138*(1+AK132)-AL136*(1+AK132)^0.5)*(1+AL133/100)^((AK132-AL132)*100)</f>
        <v>588333221.98562813</v>
      </c>
      <c r="AP138" s="209"/>
      <c r="AQ138" t="s">
        <v>171</v>
      </c>
      <c r="AR138" s="17">
        <f>$C$8</f>
        <v>500000000</v>
      </c>
      <c r="AS138" s="7">
        <f>(AR138*(1+AR132)-AS136*(1+AR132)^0.5)*(1+AS133/100)^((AR132-AS132)*100)</f>
        <v>544723544.81785488</v>
      </c>
      <c r="AT138" s="7">
        <f>(AS138*(1+AS132)-AT136*(1+AS132)^0.5)*(1+AT133/100)^((AS132-AT132)*100)</f>
        <v>503936375.04097801</v>
      </c>
      <c r="AU138" s="7">
        <f>(AT138*(1+AT132)-AU136*(1+AT132)^0.5)*(1+AU133/100)^((AT132-AU132)*100)</f>
        <v>572549004.56383717</v>
      </c>
      <c r="AV138" s="7">
        <f>(AU138*(1+AU132)-AV136*(1+AU132)^0.5)*(1+AV133/100)^((AU132-AV132)*100)</f>
        <v>565438357.10096812</v>
      </c>
      <c r="AW138" s="15">
        <f>(AV138*(1+AV132)-AW136*(1+AV132)^0.5)*(1+AW133/100)^((AV132-AW132)*100)</f>
        <v>588333221.98562813</v>
      </c>
    </row>
    <row r="139" spans="20:50" x14ac:dyDescent="0.3">
      <c r="T139" s="209"/>
      <c r="U139" t="s">
        <v>170</v>
      </c>
      <c r="V139" s="7">
        <f>$C$9</f>
        <v>425000000</v>
      </c>
      <c r="W139" s="7">
        <f>V139*(1+W130)+(W135-W136)*(1+W130)^0.5</f>
        <v>502665800.09184742</v>
      </c>
      <c r="X139" s="7">
        <f>W139*(1+X130)+(X135-X136)*(1+X130)^0.5</f>
        <v>618922453.09580374</v>
      </c>
      <c r="Y139" s="7">
        <f>X139*(1+Y130)+(Y135-Y136)*(1+Y130)^0.5</f>
        <v>715432962.77902579</v>
      </c>
      <c r="Z139" s="7">
        <f>Y139*(1+Z130)+(Z135-Z136)*(1+Z130)^0.5</f>
        <v>735084658.25107694</v>
      </c>
      <c r="AA139" s="15">
        <f>Z139*(1+AA130)+(AA135-AA136)*(1+AA130)^0.5</f>
        <v>838833622.47313702</v>
      </c>
      <c r="AE139" s="209"/>
      <c r="AF139" t="s">
        <v>170</v>
      </c>
      <c r="AG139" s="7">
        <f>$C$9</f>
        <v>425000000</v>
      </c>
      <c r="AH139" s="7">
        <f>AG139*(1+AH130)+(AH135-AH136)*(1+AH130)^0.5</f>
        <v>487564446.72384959</v>
      </c>
      <c r="AI139" s="7">
        <f>AH139*(1+AI130)+(AI135-AI136)*(1+AI130)^0.5</f>
        <v>476176747.53986734</v>
      </c>
      <c r="AJ139" s="7">
        <f>AI139*(1+AJ130)+(AJ135-AJ136)*(1+AJ130)^0.5</f>
        <v>565562059.3322891</v>
      </c>
      <c r="AK139" s="7">
        <f>AJ139*(1+AK130)+(AK135-AK136)*(1+AK130)^0.5</f>
        <v>584070271.9408139</v>
      </c>
      <c r="AL139" s="15">
        <f>AK139*(1+AL130)+(AL135-AL136)*(1+AL130)^0.5</f>
        <v>633383960.94037628</v>
      </c>
      <c r="AP139" s="209"/>
      <c r="AQ139" t="s">
        <v>170</v>
      </c>
      <c r="AR139" s="7">
        <f>$C$9</f>
        <v>425000000</v>
      </c>
      <c r="AS139" s="7">
        <f>AR139*(1+AS130)+(AS135-AS136)*(1+AS130)^0.5</f>
        <v>503465402.70464301</v>
      </c>
      <c r="AT139" s="7">
        <f>AS139*(1+AT130)+(AT135-AT136)*(1+AT130)^0.5</f>
        <v>589493592.69816029</v>
      </c>
      <c r="AU139" s="7">
        <f>AT139*(1+AU130)+(AU135-AU136)*(1+AU130)^0.5</f>
        <v>695436953.92019153</v>
      </c>
      <c r="AV139" s="7">
        <f>AU139*(1+AV130)+(AV135-AV136)*(1+AV130)^0.5</f>
        <v>714060044.08878899</v>
      </c>
      <c r="AW139" s="15">
        <f>AV139*(1+AW130)+(AW135-AW136)*(1+AW130)^0.5</f>
        <v>770463608.03093565</v>
      </c>
    </row>
    <row r="140" spans="20:50" ht="16.2" x14ac:dyDescent="0.45">
      <c r="T140" s="214"/>
      <c r="U140" s="23" t="s">
        <v>168</v>
      </c>
      <c r="V140" s="26">
        <f t="shared" ref="V140:AA140" si="25">V139/V138</f>
        <v>0.85</v>
      </c>
      <c r="W140" s="26">
        <f t="shared" si="25"/>
        <v>0.92279066119664288</v>
      </c>
      <c r="X140" s="179">
        <f t="shared" si="25"/>
        <v>1.2281757851781894</v>
      </c>
      <c r="Y140" s="26">
        <f t="shared" si="25"/>
        <v>1.2495576048098038</v>
      </c>
      <c r="Z140" s="26">
        <f t="shared" si="25"/>
        <v>1.3000261638065982</v>
      </c>
      <c r="AA140" s="27">
        <f t="shared" si="25"/>
        <v>1.4257797981254035</v>
      </c>
      <c r="AB140" s="176">
        <f>1.1*X138-X139</f>
        <v>-64592440.550727844</v>
      </c>
      <c r="AC140" s="178"/>
      <c r="AE140" s="214"/>
      <c r="AF140" s="23" t="s">
        <v>168</v>
      </c>
      <c r="AG140" s="26">
        <f t="shared" ref="AG140:AL140" si="26">AG139/AG138</f>
        <v>0.85</v>
      </c>
      <c r="AH140" s="26">
        <f t="shared" si="26"/>
        <v>0.89506769325875535</v>
      </c>
      <c r="AI140" s="26">
        <f t="shared" si="26"/>
        <v>0.94491442000222081</v>
      </c>
      <c r="AJ140" s="26">
        <f t="shared" si="26"/>
        <v>0.9877967734187737</v>
      </c>
      <c r="AK140" s="26">
        <f t="shared" si="26"/>
        <v>1.0329512750697929</v>
      </c>
      <c r="AL140" s="45">
        <f t="shared" si="26"/>
        <v>1.0765735084663444</v>
      </c>
      <c r="AM140" s="176">
        <f>1.1*AL138-AL139</f>
        <v>13782583.243814707</v>
      </c>
      <c r="AP140" s="214"/>
      <c r="AQ140" s="23" t="s">
        <v>168</v>
      </c>
      <c r="AR140" s="51">
        <f t="shared" ref="AR140:AW140" si="27">AR139/AR138</f>
        <v>0.85</v>
      </c>
      <c r="AS140" s="51">
        <f t="shared" si="27"/>
        <v>0.92425856655965222</v>
      </c>
      <c r="AT140" s="177">
        <f t="shared" si="27"/>
        <v>1.1697778169917286</v>
      </c>
      <c r="AU140" s="51">
        <f t="shared" si="27"/>
        <v>1.2146330678715778</v>
      </c>
      <c r="AV140" s="51">
        <f t="shared" si="27"/>
        <v>1.2628433057668955</v>
      </c>
      <c r="AW140" s="50">
        <f t="shared" si="27"/>
        <v>1.3095701198559149</v>
      </c>
      <c r="AX140" s="176">
        <f>1.1*AT138-AT139</f>
        <v>-35163580.153084397</v>
      </c>
    </row>
    <row r="141" spans="20:50" x14ac:dyDescent="0.3">
      <c r="AB141" s="175">
        <f>AB135+AB140</f>
        <v>-14592440.550727844</v>
      </c>
      <c r="AC141" s="164"/>
      <c r="AM141" s="175">
        <f>AM135+AM140</f>
        <v>138782583.24381471</v>
      </c>
      <c r="AX141" s="175">
        <f>AX135+AX140</f>
        <v>14836419.846915603</v>
      </c>
    </row>
    <row r="143" spans="20:50" x14ac:dyDescent="0.3">
      <c r="T143" s="167"/>
      <c r="V143" s="9" t="s">
        <v>189</v>
      </c>
      <c r="W143" s="49" t="s">
        <v>95</v>
      </c>
      <c r="X143" s="49" t="s">
        <v>102</v>
      </c>
      <c r="Y143" s="49" t="s">
        <v>93</v>
      </c>
      <c r="Z143" s="49" t="s">
        <v>92</v>
      </c>
      <c r="AA143" s="49" t="s">
        <v>91</v>
      </c>
      <c r="AE143" s="167"/>
      <c r="AG143" s="9" t="s">
        <v>189</v>
      </c>
      <c r="AH143" s="49" t="s">
        <v>95</v>
      </c>
      <c r="AI143" s="49" t="s">
        <v>102</v>
      </c>
      <c r="AJ143" s="49" t="s">
        <v>93</v>
      </c>
      <c r="AK143" s="49" t="s">
        <v>92</v>
      </c>
      <c r="AL143" s="49" t="s">
        <v>91</v>
      </c>
      <c r="AP143" s="167"/>
      <c r="AR143" s="9" t="s">
        <v>189</v>
      </c>
      <c r="AS143" s="49" t="s">
        <v>95</v>
      </c>
      <c r="AT143" s="49" t="s">
        <v>102</v>
      </c>
      <c r="AU143" s="49" t="s">
        <v>93</v>
      </c>
      <c r="AV143" s="49" t="s">
        <v>92</v>
      </c>
      <c r="AW143" s="49" t="s">
        <v>91</v>
      </c>
    </row>
    <row r="144" spans="20:50" x14ac:dyDescent="0.3">
      <c r="T144" s="213" t="s">
        <v>167</v>
      </c>
      <c r="U144" s="11" t="s">
        <v>188</v>
      </c>
      <c r="V144" s="165" t="s">
        <v>0</v>
      </c>
      <c r="W144" s="11">
        <f>0.6</f>
        <v>0.6</v>
      </c>
      <c r="X144" s="11">
        <f>0.6</f>
        <v>0.6</v>
      </c>
      <c r="Y144" s="11">
        <f>0.6</f>
        <v>0.6</v>
      </c>
      <c r="Z144" s="11">
        <f>0.6</f>
        <v>0.6</v>
      </c>
      <c r="AA144" s="12">
        <f>0.6</f>
        <v>0.6</v>
      </c>
      <c r="AE144" s="213" t="s">
        <v>167</v>
      </c>
      <c r="AF144" s="11" t="s">
        <v>188</v>
      </c>
      <c r="AG144" s="165" t="s">
        <v>0</v>
      </c>
      <c r="AH144" s="11">
        <v>0</v>
      </c>
      <c r="AI144" s="11">
        <v>0</v>
      </c>
      <c r="AJ144" s="11">
        <v>0</v>
      </c>
      <c r="AK144" s="11">
        <v>0</v>
      </c>
      <c r="AL144" s="12">
        <v>0</v>
      </c>
      <c r="AP144" s="213" t="s">
        <v>167</v>
      </c>
      <c r="AQ144" s="11" t="s">
        <v>188</v>
      </c>
      <c r="AR144" s="165" t="s">
        <v>0</v>
      </c>
      <c r="AS144" s="11">
        <f>VLOOKUP(AR159,$F$8:$H$17,2,TRUE)</f>
        <v>0.6</v>
      </c>
      <c r="AT144" s="11">
        <f>VLOOKUP(AS159,$F$8:$H$17,2,TRUE)</f>
        <v>0.65</v>
      </c>
      <c r="AU144" s="11">
        <f>VLOOKUP(AT159,$F$8:$H$17,2,TRUE)</f>
        <v>0.6</v>
      </c>
      <c r="AV144" s="11">
        <f>VLOOKUP(AU159,$F$8:$H$17,2,TRUE)</f>
        <v>0</v>
      </c>
      <c r="AW144" s="12">
        <f>VLOOKUP(AV159,$F$8:$H$17,2,TRUE)</f>
        <v>0</v>
      </c>
    </row>
    <row r="145" spans="20:50" x14ac:dyDescent="0.3">
      <c r="T145" s="209"/>
      <c r="U145" t="s">
        <v>186</v>
      </c>
      <c r="V145" s="2" t="s">
        <v>0</v>
      </c>
      <c r="W145">
        <f>1-W144</f>
        <v>0.4</v>
      </c>
      <c r="X145">
        <f>1-X144</f>
        <v>0.4</v>
      </c>
      <c r="Y145">
        <f>1-Y144</f>
        <v>0.4</v>
      </c>
      <c r="Z145">
        <f>1-Z144</f>
        <v>0.4</v>
      </c>
      <c r="AA145" s="14">
        <f>1-AA144</f>
        <v>0.4</v>
      </c>
      <c r="AE145" s="209"/>
      <c r="AF145" t="s">
        <v>163</v>
      </c>
      <c r="AG145" s="2" t="s">
        <v>0</v>
      </c>
      <c r="AH145">
        <f>1-AH144</f>
        <v>1</v>
      </c>
      <c r="AI145">
        <f>1-AI144</f>
        <v>1</v>
      </c>
      <c r="AJ145">
        <f>1-AJ144</f>
        <v>1</v>
      </c>
      <c r="AK145">
        <f>1-AK144</f>
        <v>1</v>
      </c>
      <c r="AL145" s="14">
        <f>1-AL144</f>
        <v>1</v>
      </c>
      <c r="AP145" s="209"/>
      <c r="AQ145" t="s">
        <v>163</v>
      </c>
      <c r="AR145" s="2" t="s">
        <v>0</v>
      </c>
      <c r="AS145">
        <f>1-AS144</f>
        <v>0.4</v>
      </c>
      <c r="AT145">
        <f>1-AT144</f>
        <v>0.35</v>
      </c>
      <c r="AU145">
        <f>1-AU144</f>
        <v>0.4</v>
      </c>
      <c r="AV145">
        <f>1-AV144</f>
        <v>1</v>
      </c>
      <c r="AW145" s="14">
        <f>1-AW144</f>
        <v>1</v>
      </c>
    </row>
    <row r="146" spans="20:50" x14ac:dyDescent="0.3">
      <c r="T146" s="209"/>
      <c r="V146" s="2"/>
      <c r="AA146" s="14"/>
      <c r="AE146" s="209"/>
      <c r="AG146" s="2"/>
      <c r="AL146" s="14"/>
      <c r="AP146" s="209"/>
      <c r="AR146" s="2"/>
      <c r="AW146" s="14"/>
    </row>
    <row r="147" spans="20:50" x14ac:dyDescent="0.3">
      <c r="T147" s="209"/>
      <c r="U147" t="s">
        <v>18</v>
      </c>
      <c r="V147" s="153" t="s">
        <v>0</v>
      </c>
      <c r="W147" s="152">
        <v>2.1000000000000001E-2</v>
      </c>
      <c r="X147" s="152">
        <v>0.15890000000000001</v>
      </c>
      <c r="Y147" s="152">
        <v>0.32150000000000001</v>
      </c>
      <c r="Z147" s="152">
        <v>0.13519999999999999</v>
      </c>
      <c r="AA147" s="151">
        <v>1.38E-2</v>
      </c>
      <c r="AE147" s="209"/>
      <c r="AF147" t="s">
        <v>18</v>
      </c>
      <c r="AG147" s="153" t="s">
        <v>0</v>
      </c>
      <c r="AH147" s="152">
        <v>2.1000000000000001E-2</v>
      </c>
      <c r="AI147" s="152">
        <v>0.15890000000000001</v>
      </c>
      <c r="AJ147" s="152">
        <v>0.32150000000000001</v>
      </c>
      <c r="AK147" s="152">
        <v>0.13519999999999999</v>
      </c>
      <c r="AL147" s="151">
        <v>1.38E-2</v>
      </c>
      <c r="AP147" s="209"/>
      <c r="AQ147" t="s">
        <v>18</v>
      </c>
      <c r="AR147" s="153" t="s">
        <v>0</v>
      </c>
      <c r="AS147" s="152">
        <v>2.1000000000000001E-2</v>
      </c>
      <c r="AT147" s="152">
        <v>0.15890000000000001</v>
      </c>
      <c r="AU147" s="152">
        <v>0.32150000000000001</v>
      </c>
      <c r="AV147" s="152">
        <v>0.13519999999999999</v>
      </c>
      <c r="AW147" s="151">
        <v>1.38E-2</v>
      </c>
    </row>
    <row r="148" spans="20:50" x14ac:dyDescent="0.3">
      <c r="T148" s="209"/>
      <c r="U148" t="s">
        <v>164</v>
      </c>
      <c r="V148" s="149" t="s">
        <v>0</v>
      </c>
      <c r="W148" s="148">
        <v>0.1226</v>
      </c>
      <c r="X148" s="148">
        <v>9.3299999999999994E-2</v>
      </c>
      <c r="Y148" s="148">
        <v>-9.7999999999999997E-3</v>
      </c>
      <c r="Z148" s="148">
        <v>0.10780000000000001</v>
      </c>
      <c r="AA148" s="147">
        <v>-1.4999999999999999E-2</v>
      </c>
      <c r="AE148" s="209"/>
      <c r="AF148" t="s">
        <v>163</v>
      </c>
      <c r="AG148" s="146" t="s">
        <v>0</v>
      </c>
      <c r="AH148" s="182">
        <v>0.1790416387153636</v>
      </c>
      <c r="AI148" s="182">
        <v>9.7901845706616586E-2</v>
      </c>
      <c r="AJ148" s="182">
        <v>-6.2089486867026575E-2</v>
      </c>
      <c r="AK148" s="182">
        <v>0.14612169449722551</v>
      </c>
      <c r="AL148" s="181">
        <v>8.8452476082614279E-4</v>
      </c>
      <c r="AP148" s="209"/>
      <c r="AQ148" t="s">
        <v>163</v>
      </c>
      <c r="AR148" s="146" t="s">
        <v>0</v>
      </c>
      <c r="AS148" s="182">
        <v>0.1790416387153636</v>
      </c>
      <c r="AT148" s="182">
        <v>9.7901845706616586E-2</v>
      </c>
      <c r="AU148" s="182">
        <v>-6.2089486867026575E-2</v>
      </c>
      <c r="AV148" s="182">
        <v>0.14612169449722551</v>
      </c>
      <c r="AW148" s="181">
        <v>8.8452476082614279E-4</v>
      </c>
    </row>
    <row r="149" spans="20:50" x14ac:dyDescent="0.3">
      <c r="T149" s="209"/>
      <c r="U149" t="s">
        <v>16</v>
      </c>
      <c r="V149" s="2" t="s">
        <v>0</v>
      </c>
      <c r="W149" s="31">
        <f>W144*W147+W145*W148</f>
        <v>6.164E-2</v>
      </c>
      <c r="X149" s="31">
        <f>X144*X147+X145*X148</f>
        <v>0.13266</v>
      </c>
      <c r="Y149" s="31">
        <f>Y144*Y147+Y145*Y148</f>
        <v>0.18897999999999998</v>
      </c>
      <c r="Z149" s="31">
        <f>Z144*Z147+Z145*Z148</f>
        <v>0.12423999999999999</v>
      </c>
      <c r="AA149" s="34">
        <f>AA144*AA147+AA145*AA148</f>
        <v>2.279999999999999E-3</v>
      </c>
      <c r="AE149" s="209"/>
      <c r="AF149" t="s">
        <v>16</v>
      </c>
      <c r="AG149" s="2" t="s">
        <v>0</v>
      </c>
      <c r="AH149" s="31">
        <f>AH144*AH147+AH145*AH148</f>
        <v>0.1790416387153636</v>
      </c>
      <c r="AI149" s="31">
        <f>AI144*AI147+AI145*AI148</f>
        <v>9.7901845706616586E-2</v>
      </c>
      <c r="AJ149" s="31">
        <f>AJ144*AJ147+AJ145*AJ148</f>
        <v>-6.2089486867026575E-2</v>
      </c>
      <c r="AK149" s="31">
        <f>AK144*AK147+AK145*AK148</f>
        <v>0.14612169449722551</v>
      </c>
      <c r="AL149" s="34">
        <f>AL144*AL147+AL145*AL148</f>
        <v>8.8452476082614279E-4</v>
      </c>
      <c r="AP149" s="209"/>
      <c r="AQ149" t="s">
        <v>16</v>
      </c>
      <c r="AR149" s="2" t="s">
        <v>0</v>
      </c>
      <c r="AS149" s="31">
        <f>AS144*AS147+AS145*AS148</f>
        <v>8.4216655486145445E-2</v>
      </c>
      <c r="AT149" s="31">
        <f>AT144*AT147+AT145*AT148</f>
        <v>0.13755064599731581</v>
      </c>
      <c r="AU149" s="31">
        <f>AU144*AU147+AU145*AU148</f>
        <v>0.16806420525318935</v>
      </c>
      <c r="AV149" s="31">
        <f>AV144*AV147+AV145*AV148</f>
        <v>0.14612169449722551</v>
      </c>
      <c r="AW149" s="34">
        <f>AW144*AW147+AW145*AW148</f>
        <v>8.8452476082614279E-4</v>
      </c>
    </row>
    <row r="150" spans="20:50" x14ac:dyDescent="0.3">
      <c r="T150" s="209"/>
      <c r="AA150" s="14"/>
      <c r="AE150" s="209"/>
      <c r="AL150" s="14"/>
      <c r="AP150" s="209"/>
      <c r="AW150" s="14"/>
    </row>
    <row r="151" spans="20:50" x14ac:dyDescent="0.3">
      <c r="T151" s="209"/>
      <c r="U151" t="s">
        <v>17</v>
      </c>
      <c r="V151" s="155">
        <v>5.1400000000000001E-2</v>
      </c>
      <c r="W151" s="155">
        <v>4.0800000000000003E-2</v>
      </c>
      <c r="X151" s="155">
        <v>3.5900000000000001E-2</v>
      </c>
      <c r="Y151" s="155">
        <v>4.4999999999999998E-2</v>
      </c>
      <c r="Z151" s="155">
        <v>3.6499999999999998E-2</v>
      </c>
      <c r="AA151" s="154">
        <v>3.9699999999999999E-2</v>
      </c>
      <c r="AE151" s="209"/>
      <c r="AF151" t="s">
        <v>17</v>
      </c>
      <c r="AG151" s="155">
        <v>5.1400000000000001E-2</v>
      </c>
      <c r="AH151" s="155">
        <v>4.0800000000000003E-2</v>
      </c>
      <c r="AI151" s="155">
        <v>3.5900000000000001E-2</v>
      </c>
      <c r="AJ151" s="155">
        <v>4.4999999999999998E-2</v>
      </c>
      <c r="AK151" s="155">
        <v>3.6499999999999998E-2</v>
      </c>
      <c r="AL151" s="154">
        <v>3.9699999999999999E-2</v>
      </c>
      <c r="AP151" s="209"/>
      <c r="AQ151" t="s">
        <v>17</v>
      </c>
      <c r="AR151" s="155">
        <f t="shared" ref="AR151:AW151" si="28">AG151</f>
        <v>5.1400000000000001E-2</v>
      </c>
      <c r="AS151" s="155">
        <f t="shared" si="28"/>
        <v>4.0800000000000003E-2</v>
      </c>
      <c r="AT151" s="155">
        <f t="shared" si="28"/>
        <v>3.5900000000000001E-2</v>
      </c>
      <c r="AU151" s="155">
        <f t="shared" si="28"/>
        <v>4.4999999999999998E-2</v>
      </c>
      <c r="AV151" s="155">
        <f t="shared" si="28"/>
        <v>3.6499999999999998E-2</v>
      </c>
      <c r="AW151" s="154">
        <f t="shared" si="28"/>
        <v>3.9699999999999999E-2</v>
      </c>
    </row>
    <row r="152" spans="20:50" x14ac:dyDescent="0.3">
      <c r="T152" s="209"/>
      <c r="U152" t="s">
        <v>177</v>
      </c>
      <c r="V152" s="2" t="s">
        <v>0</v>
      </c>
      <c r="W152">
        <v>12</v>
      </c>
      <c r="X152">
        <v>12</v>
      </c>
      <c r="Y152">
        <v>12</v>
      </c>
      <c r="Z152">
        <v>12</v>
      </c>
      <c r="AA152" s="14">
        <v>12</v>
      </c>
      <c r="AE152" s="209"/>
      <c r="AF152" t="s">
        <v>177</v>
      </c>
      <c r="AG152" s="2" t="s">
        <v>0</v>
      </c>
      <c r="AH152">
        <v>12</v>
      </c>
      <c r="AI152">
        <v>12</v>
      </c>
      <c r="AJ152">
        <v>12</v>
      </c>
      <c r="AK152">
        <v>12</v>
      </c>
      <c r="AL152" s="14">
        <v>12</v>
      </c>
      <c r="AP152" s="209"/>
      <c r="AQ152" t="s">
        <v>177</v>
      </c>
      <c r="AR152" s="2" t="s">
        <v>0</v>
      </c>
      <c r="AS152">
        <v>12</v>
      </c>
      <c r="AT152">
        <v>12</v>
      </c>
      <c r="AU152">
        <v>12</v>
      </c>
      <c r="AV152">
        <v>12</v>
      </c>
      <c r="AW152" s="14">
        <v>12</v>
      </c>
    </row>
    <row r="153" spans="20:50" x14ac:dyDescent="0.3">
      <c r="T153" s="209"/>
      <c r="AA153" s="14"/>
      <c r="AE153" s="209"/>
      <c r="AL153" s="14"/>
      <c r="AP153" s="209"/>
      <c r="AW153" s="14"/>
    </row>
    <row r="154" spans="20:50" x14ac:dyDescent="0.3">
      <c r="T154" s="209"/>
      <c r="U154" t="s">
        <v>176</v>
      </c>
      <c r="V154" s="2" t="s">
        <v>0</v>
      </c>
      <c r="W154" s="175">
        <f>$C$10</f>
        <v>25000000</v>
      </c>
      <c r="X154" s="175">
        <f>W154</f>
        <v>25000000</v>
      </c>
      <c r="Y154" s="175">
        <f>X154</f>
        <v>25000000</v>
      </c>
      <c r="Z154" s="164">
        <f>Y154</f>
        <v>25000000</v>
      </c>
      <c r="AA154" s="163">
        <f>Z154</f>
        <v>25000000</v>
      </c>
      <c r="AB154" s="175">
        <f>SUM(W154:Y154)</f>
        <v>75000000</v>
      </c>
      <c r="AC154" s="164"/>
      <c r="AE154" s="209"/>
      <c r="AF154" t="s">
        <v>176</v>
      </c>
      <c r="AG154" s="2" t="s">
        <v>0</v>
      </c>
      <c r="AH154" s="175">
        <f>$C$10</f>
        <v>25000000</v>
      </c>
      <c r="AI154" s="175">
        <f>AH154</f>
        <v>25000000</v>
      </c>
      <c r="AJ154" s="175">
        <f>AI154</f>
        <v>25000000</v>
      </c>
      <c r="AK154" s="175">
        <f>AJ154</f>
        <v>25000000</v>
      </c>
      <c r="AL154" s="180">
        <f>AK154</f>
        <v>25000000</v>
      </c>
      <c r="AM154" s="175">
        <f>SUM(AH154:AL154)</f>
        <v>125000000</v>
      </c>
      <c r="AP154" s="209"/>
      <c r="AQ154" t="s">
        <v>176</v>
      </c>
      <c r="AR154" s="2" t="s">
        <v>0</v>
      </c>
      <c r="AS154" s="175">
        <f>$C$10</f>
        <v>25000000</v>
      </c>
      <c r="AT154" s="175">
        <f>AS154</f>
        <v>25000000</v>
      </c>
      <c r="AU154" s="175">
        <f>AT154</f>
        <v>25000000</v>
      </c>
      <c r="AV154" s="164">
        <f>AU154</f>
        <v>25000000</v>
      </c>
      <c r="AW154" s="163">
        <f>AV154</f>
        <v>25000000</v>
      </c>
      <c r="AX154" s="175">
        <f>SUM(AS154:AU154)</f>
        <v>75000000</v>
      </c>
    </row>
    <row r="155" spans="20:50" x14ac:dyDescent="0.3">
      <c r="T155" s="209"/>
      <c r="U155" t="s">
        <v>174</v>
      </c>
      <c r="V155" s="2" t="s">
        <v>0</v>
      </c>
      <c r="W155" s="17">
        <f>$C$12</f>
        <v>5000000</v>
      </c>
      <c r="X155" s="17">
        <f>$C$13</f>
        <v>5500000</v>
      </c>
      <c r="Y155" s="17">
        <f>$C$14</f>
        <v>6500000</v>
      </c>
      <c r="Z155" s="17">
        <f>$C$15</f>
        <v>7000000</v>
      </c>
      <c r="AA155" s="18">
        <f>$C$16</f>
        <v>8000000</v>
      </c>
      <c r="AE155" s="209"/>
      <c r="AF155" t="s">
        <v>174</v>
      </c>
      <c r="AG155" s="2" t="s">
        <v>0</v>
      </c>
      <c r="AH155" s="17">
        <f>$C$12</f>
        <v>5000000</v>
      </c>
      <c r="AI155" s="17">
        <f>$C$13</f>
        <v>5500000</v>
      </c>
      <c r="AJ155" s="17">
        <f>$C$14</f>
        <v>6500000</v>
      </c>
      <c r="AK155" s="17">
        <f>$C$15</f>
        <v>7000000</v>
      </c>
      <c r="AL155" s="18">
        <f>$C$16</f>
        <v>8000000</v>
      </c>
      <c r="AP155" s="209"/>
      <c r="AQ155" t="s">
        <v>174</v>
      </c>
      <c r="AR155" s="2" t="s">
        <v>0</v>
      </c>
      <c r="AS155" s="17">
        <f>$C$12</f>
        <v>5000000</v>
      </c>
      <c r="AT155" s="17">
        <f>$C$13</f>
        <v>5500000</v>
      </c>
      <c r="AU155" s="17">
        <f>$C$14</f>
        <v>6500000</v>
      </c>
      <c r="AV155" s="17">
        <f>$C$15</f>
        <v>7000000</v>
      </c>
      <c r="AW155" s="18">
        <f>$C$16</f>
        <v>8000000</v>
      </c>
    </row>
    <row r="156" spans="20:50" x14ac:dyDescent="0.3">
      <c r="T156" s="209"/>
      <c r="AA156" s="14"/>
      <c r="AE156" s="209"/>
      <c r="AL156" s="14"/>
      <c r="AP156" s="209"/>
      <c r="AW156" s="14"/>
    </row>
    <row r="157" spans="20:50" x14ac:dyDescent="0.3">
      <c r="T157" s="209"/>
      <c r="U157" t="s">
        <v>171</v>
      </c>
      <c r="V157" s="17">
        <f>$C$8</f>
        <v>500000000</v>
      </c>
      <c r="W157" s="7">
        <f>(V157*(1+V151)-W155*(1+V151)^0.5)*(1+W152/100)^((V151-W151)*100)</f>
        <v>587019914.94945562</v>
      </c>
      <c r="X157" s="7">
        <f>(W157*(1+W151)-X155*(1+W151)^0.5)*(1+X152/100)^((W151-X151)*100)</f>
        <v>639926379.59378755</v>
      </c>
      <c r="Y157" s="7">
        <f>(X157*(1+X151)-Y155*(1+X151)^0.5)*(1+Y152/100)^((X151-Y151)*100)</f>
        <v>591975149.13753891</v>
      </c>
      <c r="Z157" s="7">
        <f>(Y157*(1+Y151)-Z155*(1+Y151)^0.5)*(1+Z152/100)^((Y151-Z151)*100)</f>
        <v>673289959.70794904</v>
      </c>
      <c r="AA157" s="15">
        <f>(Z157*(1+Z151)-AA155*(1+Z151)^0.5)*(1+AA152/100)^((Z151-AA151)*100)</f>
        <v>665155633.60614049</v>
      </c>
      <c r="AE157" s="209"/>
      <c r="AF157" t="s">
        <v>171</v>
      </c>
      <c r="AG157" s="17">
        <f>$C$8</f>
        <v>500000000</v>
      </c>
      <c r="AH157" s="7">
        <f>(AG157*(1+AG151)-AH155*(1+AG151)^0.5)*(1+AH152/100)^((AG151-AH151)*100)</f>
        <v>587019914.94945562</v>
      </c>
      <c r="AI157" s="7">
        <f>(AH157*(1+AH151)-AI155*(1+AH151)^0.5)*(1+AI152/100)^((AH151-AI151)*100)</f>
        <v>639926379.59378755</v>
      </c>
      <c r="AJ157" s="7">
        <f>(AI157*(1+AI151)-AJ155*(1+AI151)^0.5)*(1+AJ152/100)^((AI151-AJ151)*100)</f>
        <v>591975149.13753891</v>
      </c>
      <c r="AK157" s="7">
        <f>(AJ157*(1+AJ151)-AK155*(1+AJ151)^0.5)*(1+AK152/100)^((AJ151-AK151)*100)</f>
        <v>673289959.70794904</v>
      </c>
      <c r="AL157" s="15">
        <f>(AK157*(1+AK151)-AL155*(1+AK151)^0.5)*(1+AL152/100)^((AK151-AL151)*100)</f>
        <v>665155633.60614049</v>
      </c>
      <c r="AP157" s="209"/>
      <c r="AQ157" t="s">
        <v>171</v>
      </c>
      <c r="AR157" s="17">
        <f>$C$8</f>
        <v>500000000</v>
      </c>
      <c r="AS157" s="7">
        <f>(AR157*(1+AR151)-AS155*(1+AR151)^0.5)*(1+AS152/100)^((AR151-AS151)*100)</f>
        <v>587019914.94945562</v>
      </c>
      <c r="AT157" s="7">
        <f>(AS157*(1+AS151)-AT155*(1+AS151)^0.5)*(1+AT152/100)^((AS151-AT151)*100)</f>
        <v>639926379.59378755</v>
      </c>
      <c r="AU157" s="7">
        <f>(AT157*(1+AT151)-AU155*(1+AT151)^0.5)*(1+AU152/100)^((AT151-AU151)*100)</f>
        <v>591975149.13753891</v>
      </c>
      <c r="AV157" s="7">
        <f>(AU157*(1+AU151)-AV155*(1+AU151)^0.5)*(1+AV152/100)^((AU151-AV151)*100)</f>
        <v>673289959.70794904</v>
      </c>
      <c r="AW157" s="15">
        <f>(AV157*(1+AV151)-AW155*(1+AV151)^0.5)*(1+AW152/100)^((AV151-AW151)*100)</f>
        <v>665155633.60614049</v>
      </c>
    </row>
    <row r="158" spans="20:50" x14ac:dyDescent="0.3">
      <c r="T158" s="209"/>
      <c r="U158" t="s">
        <v>170</v>
      </c>
      <c r="V158" s="7">
        <f>$C$9</f>
        <v>425000000</v>
      </c>
      <c r="W158" s="7">
        <f>V158*(1+W149)+(W154-W155)*(1+W149)^0.5</f>
        <v>471804183.21362716</v>
      </c>
      <c r="X158" s="7">
        <f>W158*(1+X149)+(X154-X155)*(1+X149)^0.5</f>
        <v>555146893.74829817</v>
      </c>
      <c r="Y158" s="7">
        <f>X158*(1+Y149)+(Y154-Y155)*(1+Y149)^0.5</f>
        <v>680231020.23644555</v>
      </c>
      <c r="Z158" s="7">
        <f>Y158*(1+Z149)+(Z154-Z155)*(1+Z149)^0.5</f>
        <v>783828355.37931275</v>
      </c>
      <c r="AA158" s="15">
        <f>Z158*(1+AA149)+(AA154-AA155)*(1+AA149)^0.5</f>
        <v>802634852.99555278</v>
      </c>
      <c r="AE158" s="209"/>
      <c r="AF158" t="s">
        <v>170</v>
      </c>
      <c r="AG158" s="7">
        <f>$C$9</f>
        <v>425000000</v>
      </c>
      <c r="AH158" s="7">
        <f>AG158*(1+AH149)+(AH154-AH155)*(1+AH149)^0.5</f>
        <v>522809433.21363831</v>
      </c>
      <c r="AI158" s="7">
        <f>AH158*(1+AI149)+(AI154-AI155)*(1+AI149)^0.5</f>
        <v>594425699.91915762</v>
      </c>
      <c r="AJ158" s="7">
        <f>AI158*(1+AJ149)+(AJ154-AJ155)*(1+AJ149)^0.5</f>
        <v>575434582.55689037</v>
      </c>
      <c r="AK158" s="7">
        <f>AJ158*(1+AK149)+(AK154-AK155)*(1+AK149)^0.5</f>
        <v>678788332.02759266</v>
      </c>
      <c r="AL158" s="15">
        <f>AK158*(1+AL149)+(AL154-AL155)*(1+AL149)^0.5</f>
        <v>696396253.9132669</v>
      </c>
      <c r="AP158" s="209"/>
      <c r="AQ158" t="s">
        <v>170</v>
      </c>
      <c r="AR158" s="7">
        <f>$C$9</f>
        <v>425000000</v>
      </c>
      <c r="AS158" s="7">
        <f>AR158*(1+AS149)+(AS154-AS155)*(1+AS149)^0.5</f>
        <v>481617223.53175461</v>
      </c>
      <c r="AT158" s="7">
        <f>AS158*(1+AT149)+(AT154-AT155)*(1+AT149)^0.5</f>
        <v>568661907.52192688</v>
      </c>
      <c r="AU158" s="7">
        <f>AT158*(1+AU149)+(AU154-AU155)*(1+AU149)^0.5</f>
        <v>684227867.59657443</v>
      </c>
      <c r="AV158" s="7">
        <f>AU158*(1+AV149)+(AV154-AV155)*(1+AV149)^0.5</f>
        <v>803478676.22719502</v>
      </c>
      <c r="AW158" s="15">
        <f>AV158*(1+AW149)+(AW154-AW155)*(1+AW149)^0.5</f>
        <v>821196889.80974972</v>
      </c>
    </row>
    <row r="159" spans="20:50" ht="16.2" x14ac:dyDescent="0.45">
      <c r="T159" s="214"/>
      <c r="U159" s="23" t="s">
        <v>168</v>
      </c>
      <c r="V159" s="26">
        <f t="shared" ref="V159:AA159" si="29">V158/V157</f>
        <v>0.85</v>
      </c>
      <c r="W159" s="26">
        <f t="shared" si="29"/>
        <v>0.80372772915932689</v>
      </c>
      <c r="X159" s="26">
        <f t="shared" si="29"/>
        <v>0.86751681357579646</v>
      </c>
      <c r="Y159" s="179">
        <f t="shared" si="29"/>
        <v>1.1490871216933489</v>
      </c>
      <c r="Z159" s="26">
        <f t="shared" si="29"/>
        <v>1.1641765098046488</v>
      </c>
      <c r="AA159" s="27">
        <f t="shared" si="29"/>
        <v>1.2066872960904937</v>
      </c>
      <c r="AB159" s="176">
        <f>1.1*Y157-Y158</f>
        <v>-29058356.18515265</v>
      </c>
      <c r="AC159" s="178"/>
      <c r="AE159" s="214"/>
      <c r="AF159" s="23" t="s">
        <v>168</v>
      </c>
      <c r="AG159" s="26">
        <f t="shared" ref="AG159:AL159" si="30">AG158/AG157</f>
        <v>0.85</v>
      </c>
      <c r="AH159" s="26">
        <f t="shared" si="30"/>
        <v>0.89061617825803052</v>
      </c>
      <c r="AI159" s="26">
        <f t="shared" si="30"/>
        <v>0.92889700889731586</v>
      </c>
      <c r="AJ159" s="26">
        <f t="shared" si="30"/>
        <v>0.97205868083356739</v>
      </c>
      <c r="AK159" s="26">
        <f t="shared" si="30"/>
        <v>1.0081664255353349</v>
      </c>
      <c r="AL159" s="45">
        <f t="shared" si="30"/>
        <v>1.0469673843665059</v>
      </c>
      <c r="AM159" s="176">
        <f>1.1*AL157-AL158</f>
        <v>35274943.053487659</v>
      </c>
      <c r="AP159" s="214"/>
      <c r="AQ159" s="23" t="s">
        <v>168</v>
      </c>
      <c r="AR159" s="51">
        <f t="shared" ref="AR159:AW159" si="31">AR158/AR157</f>
        <v>0.85</v>
      </c>
      <c r="AS159" s="51">
        <f t="shared" si="31"/>
        <v>0.82044443683520252</v>
      </c>
      <c r="AT159" s="51">
        <f t="shared" si="31"/>
        <v>0.88863645202890695</v>
      </c>
      <c r="AU159" s="177">
        <f t="shared" si="31"/>
        <v>1.1558388364671059</v>
      </c>
      <c r="AV159" s="51">
        <f t="shared" si="31"/>
        <v>1.1933620346510403</v>
      </c>
      <c r="AW159" s="50">
        <f t="shared" si="31"/>
        <v>1.2345936023387967</v>
      </c>
      <c r="AX159" s="176">
        <f>1.1*AU157-AU158</f>
        <v>-33055203.545281529</v>
      </c>
    </row>
    <row r="160" spans="20:50" x14ac:dyDescent="0.3">
      <c r="AB160" s="175">
        <f>AB154+AB159</f>
        <v>45941643.81484735</v>
      </c>
      <c r="AC160" s="164"/>
      <c r="AM160" s="175">
        <f>AM154+AM159</f>
        <v>160274943.05348766</v>
      </c>
      <c r="AX160" s="175">
        <f>AX154+AX159</f>
        <v>41944796.454718471</v>
      </c>
    </row>
    <row r="162" spans="20:50" x14ac:dyDescent="0.3">
      <c r="T162" s="167"/>
      <c r="V162" s="9" t="s">
        <v>189</v>
      </c>
      <c r="W162" s="49" t="s">
        <v>95</v>
      </c>
      <c r="X162" s="49" t="s">
        <v>102</v>
      </c>
      <c r="Y162" s="49" t="s">
        <v>93</v>
      </c>
      <c r="Z162" s="49" t="s">
        <v>92</v>
      </c>
      <c r="AA162" s="49" t="s">
        <v>91</v>
      </c>
      <c r="AE162" s="167"/>
      <c r="AG162" s="9" t="s">
        <v>189</v>
      </c>
      <c r="AH162" s="49" t="s">
        <v>95</v>
      </c>
      <c r="AI162" s="49" t="s">
        <v>102</v>
      </c>
      <c r="AJ162" s="49" t="s">
        <v>93</v>
      </c>
      <c r="AK162" s="49" t="s">
        <v>92</v>
      </c>
      <c r="AL162" s="49" t="s">
        <v>91</v>
      </c>
      <c r="AP162" s="167"/>
      <c r="AR162" s="9" t="s">
        <v>189</v>
      </c>
      <c r="AS162" s="49" t="s">
        <v>95</v>
      </c>
      <c r="AT162" s="49" t="s">
        <v>102</v>
      </c>
      <c r="AU162" s="49" t="s">
        <v>93</v>
      </c>
      <c r="AV162" s="49" t="s">
        <v>92</v>
      </c>
      <c r="AW162" s="49" t="s">
        <v>91</v>
      </c>
    </row>
    <row r="163" spans="20:50" x14ac:dyDescent="0.3">
      <c r="T163" s="213" t="s">
        <v>166</v>
      </c>
      <c r="U163" s="11" t="s">
        <v>188</v>
      </c>
      <c r="V163" s="165" t="s">
        <v>0</v>
      </c>
      <c r="W163" s="11">
        <f>0.6</f>
        <v>0.6</v>
      </c>
      <c r="X163" s="11">
        <f>0.6</f>
        <v>0.6</v>
      </c>
      <c r="Y163" s="11">
        <f>0.6</f>
        <v>0.6</v>
      </c>
      <c r="Z163" s="11">
        <f>0.6</f>
        <v>0.6</v>
      </c>
      <c r="AA163" s="12">
        <f>0.6</f>
        <v>0.6</v>
      </c>
      <c r="AE163" s="213" t="s">
        <v>166</v>
      </c>
      <c r="AF163" s="11" t="s">
        <v>188</v>
      </c>
      <c r="AG163" s="165" t="s">
        <v>0</v>
      </c>
      <c r="AH163" s="11">
        <v>0</v>
      </c>
      <c r="AI163" s="11">
        <v>0</v>
      </c>
      <c r="AJ163" s="11">
        <v>0</v>
      </c>
      <c r="AK163" s="11">
        <v>0</v>
      </c>
      <c r="AL163" s="12">
        <v>0</v>
      </c>
      <c r="AP163" s="213" t="s">
        <v>166</v>
      </c>
      <c r="AQ163" s="11" t="s">
        <v>188</v>
      </c>
      <c r="AR163" s="165" t="s">
        <v>0</v>
      </c>
      <c r="AS163" s="11">
        <f>VLOOKUP(AR178,$F$8:$H$17,2,TRUE)</f>
        <v>0.6</v>
      </c>
      <c r="AT163" s="11">
        <f>VLOOKUP(AS178,$F$8:$H$17,2,TRUE)</f>
        <v>0.5</v>
      </c>
      <c r="AU163" s="11">
        <f>VLOOKUP(AT178,$F$8:$H$17,2,TRUE)</f>
        <v>0.6</v>
      </c>
      <c r="AV163" s="11">
        <f>VLOOKUP(AU178,$F$8:$H$17,2,TRUE)</f>
        <v>0.5</v>
      </c>
      <c r="AW163" s="12">
        <f>VLOOKUP(AV178,$F$8:$H$17,2,TRUE)</f>
        <v>0</v>
      </c>
    </row>
    <row r="164" spans="20:50" x14ac:dyDescent="0.3">
      <c r="T164" s="209"/>
      <c r="U164" t="s">
        <v>186</v>
      </c>
      <c r="V164" s="2" t="s">
        <v>0</v>
      </c>
      <c r="W164">
        <f>1-W163</f>
        <v>0.4</v>
      </c>
      <c r="X164">
        <f>1-X163</f>
        <v>0.4</v>
      </c>
      <c r="Y164">
        <f>1-Y163</f>
        <v>0.4</v>
      </c>
      <c r="Z164">
        <f>1-Z163</f>
        <v>0.4</v>
      </c>
      <c r="AA164" s="14">
        <f>1-AA163</f>
        <v>0.4</v>
      </c>
      <c r="AE164" s="209"/>
      <c r="AF164" t="s">
        <v>163</v>
      </c>
      <c r="AG164" s="2" t="s">
        <v>0</v>
      </c>
      <c r="AH164">
        <f>1-AH163</f>
        <v>1</v>
      </c>
      <c r="AI164">
        <f>1-AI163</f>
        <v>1</v>
      </c>
      <c r="AJ164">
        <f>1-AJ163</f>
        <v>1</v>
      </c>
      <c r="AK164">
        <f>1-AK163</f>
        <v>1</v>
      </c>
      <c r="AL164" s="14">
        <f>1-AL163</f>
        <v>1</v>
      </c>
      <c r="AP164" s="209"/>
      <c r="AQ164" t="s">
        <v>163</v>
      </c>
      <c r="AR164" s="2" t="s">
        <v>0</v>
      </c>
      <c r="AS164">
        <f>1-AS163</f>
        <v>0.4</v>
      </c>
      <c r="AT164">
        <f>1-AT163</f>
        <v>0.5</v>
      </c>
      <c r="AU164">
        <f>1-AU163</f>
        <v>0.4</v>
      </c>
      <c r="AV164">
        <f>1-AV163</f>
        <v>0.5</v>
      </c>
      <c r="AW164" s="14">
        <f>1-AW163</f>
        <v>1</v>
      </c>
    </row>
    <row r="165" spans="20:50" x14ac:dyDescent="0.3">
      <c r="T165" s="209"/>
      <c r="V165" s="2"/>
      <c r="AA165" s="14"/>
      <c r="AE165" s="209"/>
      <c r="AG165" s="2"/>
      <c r="AL165" s="14"/>
      <c r="AP165" s="209"/>
      <c r="AR165" s="2"/>
      <c r="AW165" s="14"/>
    </row>
    <row r="166" spans="20:50" x14ac:dyDescent="0.3">
      <c r="T166" s="209"/>
      <c r="U166" t="s">
        <v>18</v>
      </c>
      <c r="V166" s="153" t="s">
        <v>0</v>
      </c>
      <c r="W166" s="152">
        <v>0.1482</v>
      </c>
      <c r="X166" s="152">
        <v>2.1000000000000001E-2</v>
      </c>
      <c r="Y166" s="152">
        <v>0.15890000000000001</v>
      </c>
      <c r="Z166" s="152">
        <v>0.32150000000000001</v>
      </c>
      <c r="AA166" s="151">
        <v>0.13519999999999999</v>
      </c>
      <c r="AE166" s="209"/>
      <c r="AF166" t="s">
        <v>18</v>
      </c>
      <c r="AG166" s="153" t="s">
        <v>0</v>
      </c>
      <c r="AH166" s="152">
        <v>0.1482</v>
      </c>
      <c r="AI166" s="152">
        <v>2.1000000000000001E-2</v>
      </c>
      <c r="AJ166" s="152">
        <v>0.15890000000000001</v>
      </c>
      <c r="AK166" s="152">
        <v>0.32150000000000001</v>
      </c>
      <c r="AL166" s="151">
        <v>0.13519999999999999</v>
      </c>
      <c r="AP166" s="209"/>
      <c r="AQ166" t="s">
        <v>18</v>
      </c>
      <c r="AR166" s="153" t="s">
        <v>0</v>
      </c>
      <c r="AS166" s="152">
        <v>0.1482</v>
      </c>
      <c r="AT166" s="152">
        <v>2.1000000000000001E-2</v>
      </c>
      <c r="AU166" s="152">
        <v>0.15890000000000001</v>
      </c>
      <c r="AV166" s="152">
        <v>0.32150000000000001</v>
      </c>
      <c r="AW166" s="151">
        <v>0.13519999999999999</v>
      </c>
    </row>
    <row r="167" spans="20:50" x14ac:dyDescent="0.3">
      <c r="T167" s="209"/>
      <c r="U167" t="s">
        <v>164</v>
      </c>
      <c r="V167" s="149" t="s">
        <v>0</v>
      </c>
      <c r="W167" s="148">
        <v>9.4100000000000003E-2</v>
      </c>
      <c r="X167" s="148">
        <v>0.1226</v>
      </c>
      <c r="Y167" s="148">
        <v>9.3299999999999994E-2</v>
      </c>
      <c r="Z167" s="148">
        <v>-9.7999999999999997E-3</v>
      </c>
      <c r="AA167" s="147">
        <v>0.10780000000000001</v>
      </c>
      <c r="AE167" s="209"/>
      <c r="AF167" t="s">
        <v>163</v>
      </c>
      <c r="AG167" s="146" t="s">
        <v>0</v>
      </c>
      <c r="AH167" s="182">
        <v>0.11730196105616943</v>
      </c>
      <c r="AI167" s="182">
        <v>0.1790416387153636</v>
      </c>
      <c r="AJ167" s="182">
        <v>9.7901845706616586E-2</v>
      </c>
      <c r="AK167" s="182">
        <v>-6.2089486867026575E-2</v>
      </c>
      <c r="AL167" s="181">
        <v>0.14612169449722551</v>
      </c>
      <c r="AP167" s="209"/>
      <c r="AQ167" t="s">
        <v>163</v>
      </c>
      <c r="AR167" s="146" t="s">
        <v>0</v>
      </c>
      <c r="AS167" s="182">
        <v>0.11730196105616943</v>
      </c>
      <c r="AT167" s="182">
        <v>0.1790416387153636</v>
      </c>
      <c r="AU167" s="182">
        <v>9.7901845706616586E-2</v>
      </c>
      <c r="AV167" s="182">
        <v>-6.2089486867026575E-2</v>
      </c>
      <c r="AW167" s="181">
        <v>0.14612169449722551</v>
      </c>
    </row>
    <row r="168" spans="20:50" x14ac:dyDescent="0.3">
      <c r="T168" s="209"/>
      <c r="U168" t="s">
        <v>16</v>
      </c>
      <c r="V168" s="2" t="s">
        <v>0</v>
      </c>
      <c r="W168" s="31">
        <f>W163*W166+W164*W167</f>
        <v>0.12656000000000001</v>
      </c>
      <c r="X168" s="31">
        <f>X163*X166+X164*X167</f>
        <v>6.164E-2</v>
      </c>
      <c r="Y168" s="31">
        <f>Y163*Y166+Y164*Y167</f>
        <v>0.13266</v>
      </c>
      <c r="Z168" s="31">
        <f>Z163*Z166+Z164*Z167</f>
        <v>0.18897999999999998</v>
      </c>
      <c r="AA168" s="34">
        <f>AA163*AA166+AA164*AA167</f>
        <v>0.12423999999999999</v>
      </c>
      <c r="AE168" s="209"/>
      <c r="AF168" t="s">
        <v>16</v>
      </c>
      <c r="AG168" s="2" t="s">
        <v>0</v>
      </c>
      <c r="AH168" s="31">
        <f>AH163*AH166+AH164*AH167</f>
        <v>0.11730196105616943</v>
      </c>
      <c r="AI168" s="31">
        <f>AI163*AI166+AI164*AI167</f>
        <v>0.1790416387153636</v>
      </c>
      <c r="AJ168" s="31">
        <f>AJ163*AJ166+AJ164*AJ167</f>
        <v>9.7901845706616586E-2</v>
      </c>
      <c r="AK168" s="31">
        <f>AK163*AK166+AK164*AK167</f>
        <v>-6.2089486867026575E-2</v>
      </c>
      <c r="AL168" s="34">
        <f>AL163*AL166+AL164*AL167</f>
        <v>0.14612169449722551</v>
      </c>
      <c r="AP168" s="209"/>
      <c r="AQ168" t="s">
        <v>16</v>
      </c>
      <c r="AR168" s="2" t="s">
        <v>0</v>
      </c>
      <c r="AS168" s="31">
        <f>AS163*AS166+AS164*AS167</f>
        <v>0.13584078442246778</v>
      </c>
      <c r="AT168" s="31">
        <f>AT163*AT166+AT164*AT167</f>
        <v>0.1000208193576818</v>
      </c>
      <c r="AU168" s="31">
        <f>AU163*AU166+AU164*AU167</f>
        <v>0.13450073828264664</v>
      </c>
      <c r="AV168" s="31">
        <f>AV163*AV166+AV164*AV167</f>
        <v>0.12970525656648671</v>
      </c>
      <c r="AW168" s="34">
        <f>AW163*AW166+AW164*AW167</f>
        <v>0.14612169449722551</v>
      </c>
    </row>
    <row r="169" spans="20:50" x14ac:dyDescent="0.3">
      <c r="T169" s="209"/>
      <c r="AA169" s="14"/>
      <c r="AE169" s="209"/>
      <c r="AL169" s="14"/>
      <c r="AP169" s="209"/>
      <c r="AW169" s="14"/>
    </row>
    <row r="170" spans="20:50" x14ac:dyDescent="0.3">
      <c r="T170" s="209"/>
      <c r="U170" t="s">
        <v>17</v>
      </c>
      <c r="V170" s="155">
        <v>5.6599999999999998E-2</v>
      </c>
      <c r="W170" s="155">
        <v>5.1400000000000001E-2</v>
      </c>
      <c r="X170" s="155">
        <v>4.0800000000000003E-2</v>
      </c>
      <c r="Y170" s="155">
        <v>3.5900000000000001E-2</v>
      </c>
      <c r="Z170" s="155">
        <v>4.4999999999999998E-2</v>
      </c>
      <c r="AA170" s="154">
        <v>3.6499999999999998E-2</v>
      </c>
      <c r="AE170" s="209"/>
      <c r="AF170" t="s">
        <v>17</v>
      </c>
      <c r="AG170" s="155">
        <v>5.6599999999999998E-2</v>
      </c>
      <c r="AH170" s="155">
        <v>5.1400000000000001E-2</v>
      </c>
      <c r="AI170" s="155">
        <v>4.0800000000000003E-2</v>
      </c>
      <c r="AJ170" s="155">
        <v>3.5900000000000001E-2</v>
      </c>
      <c r="AK170" s="155">
        <v>4.4999999999999998E-2</v>
      </c>
      <c r="AL170" s="154">
        <v>3.6499999999999998E-2</v>
      </c>
      <c r="AP170" s="209"/>
      <c r="AQ170" t="s">
        <v>17</v>
      </c>
      <c r="AR170" s="155">
        <f t="shared" ref="AR170:AW170" si="32">AG170</f>
        <v>5.6599999999999998E-2</v>
      </c>
      <c r="AS170" s="155">
        <f t="shared" si="32"/>
        <v>5.1400000000000001E-2</v>
      </c>
      <c r="AT170" s="155">
        <f t="shared" si="32"/>
        <v>4.0800000000000003E-2</v>
      </c>
      <c r="AU170" s="155">
        <f t="shared" si="32"/>
        <v>3.5900000000000001E-2</v>
      </c>
      <c r="AV170" s="155">
        <f t="shared" si="32"/>
        <v>4.4999999999999998E-2</v>
      </c>
      <c r="AW170" s="154">
        <f t="shared" si="32"/>
        <v>3.6499999999999998E-2</v>
      </c>
    </row>
    <row r="171" spans="20:50" x14ac:dyDescent="0.3">
      <c r="T171" s="209"/>
      <c r="U171" t="s">
        <v>177</v>
      </c>
      <c r="V171" s="2" t="s">
        <v>0</v>
      </c>
      <c r="W171">
        <v>12</v>
      </c>
      <c r="X171">
        <v>12</v>
      </c>
      <c r="Y171">
        <v>12</v>
      </c>
      <c r="Z171">
        <v>12</v>
      </c>
      <c r="AA171" s="14">
        <v>12</v>
      </c>
      <c r="AE171" s="209"/>
      <c r="AF171" t="s">
        <v>177</v>
      </c>
      <c r="AG171" s="2" t="s">
        <v>0</v>
      </c>
      <c r="AH171">
        <v>12</v>
      </c>
      <c r="AI171">
        <v>12</v>
      </c>
      <c r="AJ171">
        <v>12</v>
      </c>
      <c r="AK171">
        <v>12</v>
      </c>
      <c r="AL171" s="14">
        <v>12</v>
      </c>
      <c r="AP171" s="209"/>
      <c r="AQ171" t="s">
        <v>177</v>
      </c>
      <c r="AR171" s="2" t="s">
        <v>0</v>
      </c>
      <c r="AS171">
        <v>12</v>
      </c>
      <c r="AT171">
        <v>12</v>
      </c>
      <c r="AU171">
        <v>12</v>
      </c>
      <c r="AV171">
        <v>12</v>
      </c>
      <c r="AW171" s="14">
        <v>12</v>
      </c>
    </row>
    <row r="172" spans="20:50" x14ac:dyDescent="0.3">
      <c r="T172" s="209"/>
      <c r="AA172" s="14"/>
      <c r="AE172" s="209"/>
      <c r="AL172" s="14"/>
      <c r="AP172" s="209"/>
      <c r="AW172" s="14"/>
    </row>
    <row r="173" spans="20:50" x14ac:dyDescent="0.3">
      <c r="T173" s="209"/>
      <c r="U173" t="s">
        <v>176</v>
      </c>
      <c r="V173" s="2" t="s">
        <v>0</v>
      </c>
      <c r="W173" s="175">
        <f>$C$10</f>
        <v>25000000</v>
      </c>
      <c r="X173" s="175">
        <f>W173</f>
        <v>25000000</v>
      </c>
      <c r="Y173" s="175">
        <f>X173</f>
        <v>25000000</v>
      </c>
      <c r="Z173" s="175">
        <f>Y173</f>
        <v>25000000</v>
      </c>
      <c r="AA173" s="163">
        <f>Z173</f>
        <v>25000000</v>
      </c>
      <c r="AB173" s="175">
        <f>SUM(W173:Z173)</f>
        <v>100000000</v>
      </c>
      <c r="AC173" s="164"/>
      <c r="AE173" s="209"/>
      <c r="AF173" t="s">
        <v>176</v>
      </c>
      <c r="AG173" s="2" t="s">
        <v>0</v>
      </c>
      <c r="AH173" s="175">
        <f>$C$10</f>
        <v>25000000</v>
      </c>
      <c r="AI173" s="175">
        <f>AH173</f>
        <v>25000000</v>
      </c>
      <c r="AJ173" s="175">
        <f>AI173</f>
        <v>25000000</v>
      </c>
      <c r="AK173" s="175">
        <f>AJ173</f>
        <v>25000000</v>
      </c>
      <c r="AL173" s="180">
        <f>AK173</f>
        <v>25000000</v>
      </c>
      <c r="AM173" s="175">
        <f>SUM(AH173:AL173)</f>
        <v>125000000</v>
      </c>
      <c r="AP173" s="209"/>
      <c r="AQ173" t="s">
        <v>176</v>
      </c>
      <c r="AR173" s="2" t="s">
        <v>0</v>
      </c>
      <c r="AS173" s="175">
        <f>$C$10</f>
        <v>25000000</v>
      </c>
      <c r="AT173" s="175">
        <f>AS173</f>
        <v>25000000</v>
      </c>
      <c r="AU173" s="175">
        <f>AT173</f>
        <v>25000000</v>
      </c>
      <c r="AV173" s="175">
        <f>AU173</f>
        <v>25000000</v>
      </c>
      <c r="AW173" s="163">
        <f>AV173</f>
        <v>25000000</v>
      </c>
      <c r="AX173" s="175">
        <f>SUM(AS173:AV173)</f>
        <v>100000000</v>
      </c>
    </row>
    <row r="174" spans="20:50" x14ac:dyDescent="0.3">
      <c r="T174" s="209"/>
      <c r="U174" t="s">
        <v>174</v>
      </c>
      <c r="V174" s="2" t="s">
        <v>0</v>
      </c>
      <c r="W174" s="17">
        <f>$C$12</f>
        <v>5000000</v>
      </c>
      <c r="X174" s="17">
        <f>$C$13</f>
        <v>5500000</v>
      </c>
      <c r="Y174" s="17">
        <f>$C$14</f>
        <v>6500000</v>
      </c>
      <c r="Z174" s="17">
        <f>$C$15</f>
        <v>7000000</v>
      </c>
      <c r="AA174" s="18">
        <f>$C$16</f>
        <v>8000000</v>
      </c>
      <c r="AE174" s="209"/>
      <c r="AF174" t="s">
        <v>174</v>
      </c>
      <c r="AG174" s="2" t="s">
        <v>0</v>
      </c>
      <c r="AH174" s="17">
        <f>$C$12</f>
        <v>5000000</v>
      </c>
      <c r="AI174" s="17">
        <f>$C$13</f>
        <v>5500000</v>
      </c>
      <c r="AJ174" s="17">
        <f>$C$14</f>
        <v>6500000</v>
      </c>
      <c r="AK174" s="17">
        <f>$C$15</f>
        <v>7000000</v>
      </c>
      <c r="AL174" s="18">
        <f>$C$16</f>
        <v>8000000</v>
      </c>
      <c r="AP174" s="209"/>
      <c r="AQ174" t="s">
        <v>174</v>
      </c>
      <c r="AR174" s="2" t="s">
        <v>0</v>
      </c>
      <c r="AS174" s="17">
        <f>$C$12</f>
        <v>5000000</v>
      </c>
      <c r="AT174" s="17">
        <f>$C$13</f>
        <v>5500000</v>
      </c>
      <c r="AU174" s="17">
        <f>$C$14</f>
        <v>6500000</v>
      </c>
      <c r="AV174" s="17">
        <f>$C$15</f>
        <v>7000000</v>
      </c>
      <c r="AW174" s="18">
        <f>$C$16</f>
        <v>8000000</v>
      </c>
    </row>
    <row r="175" spans="20:50" x14ac:dyDescent="0.3">
      <c r="T175" s="209"/>
      <c r="AA175" s="14"/>
      <c r="AE175" s="209"/>
      <c r="AL175" s="14"/>
      <c r="AP175" s="209"/>
      <c r="AW175" s="14"/>
    </row>
    <row r="176" spans="20:50" x14ac:dyDescent="0.3">
      <c r="T176" s="209"/>
      <c r="U176" t="s">
        <v>171</v>
      </c>
      <c r="V176" s="17">
        <f>$C$8</f>
        <v>500000000</v>
      </c>
      <c r="W176" s="7">
        <f>(V176*(1+V170)-W174*(1+V170)^0.5)*(1+W171/100)^((V170-W170)*100)</f>
        <v>554917312.59998059</v>
      </c>
      <c r="X176" s="7">
        <f>(W176*(1+W170)-X174*(1+W170)^0.5)*(1+X171/100)^((W170-X170)*100)</f>
        <v>651551884.15764844</v>
      </c>
      <c r="Y176" s="7">
        <f>(X176*(1+X170)-Y174*(1+X170)^0.5)*(1+Y171/100)^((X170-Y170)*100)</f>
        <v>709848040.25456524</v>
      </c>
      <c r="Z176" s="7">
        <f>(Y176*(1+Y170)-Z174*(1+Y170)^0.5)*(1+Z171/100)^((Y170-Z170)*100)</f>
        <v>656850408.35133147</v>
      </c>
      <c r="AA176" s="15">
        <f>(Z176*(1+Z170)-AA174*(1+Z170)^0.5)*(1+AA171/100)^((Z170-AA170)*100)</f>
        <v>746814490.74400389</v>
      </c>
      <c r="AE176" s="209"/>
      <c r="AF176" t="s">
        <v>171</v>
      </c>
      <c r="AG176" s="17">
        <f>$C$8</f>
        <v>500000000</v>
      </c>
      <c r="AH176" s="7">
        <f>(AG176*(1+AG170)-AH174*(1+AG170)^0.5)*(1+AH171/100)^((AG170-AH170)*100)</f>
        <v>554917312.59998059</v>
      </c>
      <c r="AI176" s="7">
        <f>(AH176*(1+AH170)-AI174*(1+AH170)^0.5)*(1+AI171/100)^((AH170-AI170)*100)</f>
        <v>651551884.15764844</v>
      </c>
      <c r="AJ176" s="7">
        <f>(AI176*(1+AI170)-AJ174*(1+AI170)^0.5)*(1+AJ171/100)^((AI170-AJ170)*100)</f>
        <v>709848040.25456524</v>
      </c>
      <c r="AK176" s="7">
        <f>(AJ176*(1+AJ170)-AK174*(1+AJ170)^0.5)*(1+AK171/100)^((AJ170-AK170)*100)</f>
        <v>656850408.35133147</v>
      </c>
      <c r="AL176" s="15">
        <f>(AK176*(1+AK170)-AL174*(1+AK170)^0.5)*(1+AL171/100)^((AK170-AL170)*100)</f>
        <v>746814490.74400389</v>
      </c>
      <c r="AP176" s="209"/>
      <c r="AQ176" t="s">
        <v>171</v>
      </c>
      <c r="AR176" s="17">
        <f>$C$8</f>
        <v>500000000</v>
      </c>
      <c r="AS176" s="7">
        <f>(AR176*(1+AR170)-AS174*(1+AR170)^0.5)*(1+AS171/100)^((AR170-AS170)*100)</f>
        <v>554917312.59998059</v>
      </c>
      <c r="AT176" s="7">
        <f>(AS176*(1+AS170)-AT174*(1+AS170)^0.5)*(1+AT171/100)^((AS170-AT170)*100)</f>
        <v>651551884.15764844</v>
      </c>
      <c r="AU176" s="7">
        <f>(AT176*(1+AT170)-AU174*(1+AT170)^0.5)*(1+AU171/100)^((AT170-AU170)*100)</f>
        <v>709848040.25456524</v>
      </c>
      <c r="AV176" s="7">
        <f>(AU176*(1+AU170)-AV174*(1+AU170)^0.5)*(1+AV171/100)^((AU170-AV170)*100)</f>
        <v>656850408.35133147</v>
      </c>
      <c r="AW176" s="15">
        <f>(AV176*(1+AV170)-AW174*(1+AV170)^0.5)*(1+AW171/100)^((AV170-AW170)*100)</f>
        <v>746814490.74400389</v>
      </c>
    </row>
    <row r="177" spans="20:50" x14ac:dyDescent="0.3">
      <c r="T177" s="209"/>
      <c r="U177" t="s">
        <v>170</v>
      </c>
      <c r="V177" s="7">
        <f>$C$9</f>
        <v>425000000</v>
      </c>
      <c r="W177" s="7">
        <f>V177*(1+W168)+(W173-W174)*(1+W168)^0.5</f>
        <v>500015906.16146588</v>
      </c>
      <c r="X177" s="7">
        <f>W177*(1+X168)+(X173-X174)*(1+X168)^0.5</f>
        <v>550928890.25054514</v>
      </c>
      <c r="Y177" s="7">
        <f>X177*(1+Y168)+(Y173-Y174)*(1+Y168)^0.5</f>
        <v>643704019.41614139</v>
      </c>
      <c r="Z177" s="7">
        <f>Y177*(1+Z168)+(Z173-Z174)*(1+Z168)^0.5</f>
        <v>784978469.71549523</v>
      </c>
      <c r="AA177" s="15">
        <f>Z177*(1+AA168)+(AA173-AA174)*(1+AA168)^0.5</f>
        <v>900529326.13782334</v>
      </c>
      <c r="AE177" s="209"/>
      <c r="AF177" t="s">
        <v>170</v>
      </c>
      <c r="AG177" s="7">
        <f>$C$9</f>
        <v>425000000</v>
      </c>
      <c r="AH177" s="7">
        <f>AG177*(1+AH168)+(AH173-AH174)*(1+AH168)^0.5</f>
        <v>495993834.49360764</v>
      </c>
      <c r="AI177" s="7">
        <f>AH177*(1+AI168)+(AI173-AI174)*(1+AI168)^0.5</f>
        <v>605971201.75467849</v>
      </c>
      <c r="AJ177" s="7">
        <f>AI177*(1+AJ168)+(AJ173-AJ174)*(1+AJ168)^0.5</f>
        <v>684681350.97766531</v>
      </c>
      <c r="AK177" s="7">
        <f>AJ177*(1+AK168)+(AK173-AK174)*(1+AK168)^0.5</f>
        <v>659602077.65361559</v>
      </c>
      <c r="AL177" s="15">
        <f>AK177*(1+AL168)+(AL173-AL174)*(1+AL168)^0.5</f>
        <v>774183953.39637244</v>
      </c>
      <c r="AP177" s="209"/>
      <c r="AQ177" t="s">
        <v>170</v>
      </c>
      <c r="AR177" s="7">
        <f>$C$9</f>
        <v>425000000</v>
      </c>
      <c r="AS177" s="7">
        <f>AR177*(1+AS168)+(AS173-AS174)*(1+AS168)^0.5</f>
        <v>504047499.66482532</v>
      </c>
      <c r="AT177" s="7">
        <f>AS177*(1+AT168)+(AT173-AT174)*(1+AT168)^0.5</f>
        <v>574914709.65706134</v>
      </c>
      <c r="AU177" s="7">
        <f>AT177*(1+AU168)+(AU173-AU174)*(1+AU168)^0.5</f>
        <v>671946057.31991887</v>
      </c>
      <c r="AV177" s="7">
        <f>AU177*(1+AV168)+(AV173-AV174)*(1+AV168)^0.5</f>
        <v>778232759.94192624</v>
      </c>
      <c r="AW177" s="15">
        <f>AV177*(1+AW168)+(AW173-AW174)*(1+AW168)^0.5</f>
        <v>910149152.00001299</v>
      </c>
    </row>
    <row r="178" spans="20:50" ht="16.2" x14ac:dyDescent="0.45">
      <c r="T178" s="214"/>
      <c r="U178" s="23" t="s">
        <v>168</v>
      </c>
      <c r="V178" s="26">
        <f t="shared" ref="V178:AA178" si="33">V177/V176</f>
        <v>0.85</v>
      </c>
      <c r="W178" s="26">
        <f t="shared" si="33"/>
        <v>0.90106380681964571</v>
      </c>
      <c r="X178" s="26">
        <f t="shared" si="33"/>
        <v>0.84556411184783453</v>
      </c>
      <c r="Y178" s="26">
        <f t="shared" si="33"/>
        <v>0.90681946404373626</v>
      </c>
      <c r="Z178" s="179">
        <f t="shared" si="33"/>
        <v>1.1950642942976317</v>
      </c>
      <c r="AA178" s="27">
        <f t="shared" si="33"/>
        <v>1.2058273336939178</v>
      </c>
      <c r="AB178" s="176">
        <f>1.1*Z176-Z177</f>
        <v>-62443020.529030561</v>
      </c>
      <c r="AC178" s="178"/>
      <c r="AE178" s="214"/>
      <c r="AF178" s="23" t="s">
        <v>168</v>
      </c>
      <c r="AG178" s="26">
        <f t="shared" ref="AG178:AL178" si="34">AG177/AG176</f>
        <v>0.85</v>
      </c>
      <c r="AH178" s="26">
        <f t="shared" si="34"/>
        <v>0.89381575098045518</v>
      </c>
      <c r="AI178" s="26">
        <f t="shared" si="34"/>
        <v>0.93004289679570429</v>
      </c>
      <c r="AJ178" s="26">
        <f t="shared" si="34"/>
        <v>0.96454637070227778</v>
      </c>
      <c r="AK178" s="26">
        <f t="shared" si="34"/>
        <v>1.004189187168492</v>
      </c>
      <c r="AL178" s="45">
        <f t="shared" si="34"/>
        <v>1.0366482747611152</v>
      </c>
      <c r="AM178" s="176">
        <f>1.1*AL176-AL177</f>
        <v>47311986.422031879</v>
      </c>
      <c r="AP178" s="214"/>
      <c r="AQ178" s="23" t="s">
        <v>168</v>
      </c>
      <c r="AR178" s="51">
        <f t="shared" ref="AR178:AW178" si="35">AR177/AR176</f>
        <v>0.85</v>
      </c>
      <c r="AS178" s="51">
        <f t="shared" si="35"/>
        <v>0.90832902167565743</v>
      </c>
      <c r="AT178" s="51">
        <f t="shared" si="35"/>
        <v>0.88237748003803773</v>
      </c>
      <c r="AU178" s="51">
        <f t="shared" si="35"/>
        <v>0.94660549753570644</v>
      </c>
      <c r="AV178" s="177">
        <f t="shared" si="35"/>
        <v>1.1847945134041398</v>
      </c>
      <c r="AW178" s="50">
        <f t="shared" si="35"/>
        <v>1.2187084788530136</v>
      </c>
      <c r="AX178" s="176">
        <f>1.1*AV176-AV177</f>
        <v>-55697310.755461574</v>
      </c>
    </row>
    <row r="179" spans="20:50" x14ac:dyDescent="0.3">
      <c r="AB179" s="175">
        <f>AB173+AB178</f>
        <v>37556979.470969439</v>
      </c>
      <c r="AC179" s="164"/>
      <c r="AM179" s="175">
        <f>AM173+AM178</f>
        <v>172311986.42203188</v>
      </c>
      <c r="AX179" s="175">
        <f>AX173+AX178</f>
        <v>44302689.244538426</v>
      </c>
    </row>
    <row r="181" spans="20:50" x14ac:dyDescent="0.3">
      <c r="T181" s="167"/>
      <c r="V181" s="9" t="s">
        <v>189</v>
      </c>
      <c r="W181" s="49" t="s">
        <v>95</v>
      </c>
      <c r="X181" s="49" t="s">
        <v>102</v>
      </c>
      <c r="Y181" s="49" t="s">
        <v>93</v>
      </c>
      <c r="Z181" s="49" t="s">
        <v>92</v>
      </c>
      <c r="AA181" s="49" t="s">
        <v>91</v>
      </c>
      <c r="AE181" s="167"/>
      <c r="AG181" s="9" t="s">
        <v>189</v>
      </c>
      <c r="AH181" s="49" t="s">
        <v>95</v>
      </c>
      <c r="AI181" s="49" t="s">
        <v>102</v>
      </c>
      <c r="AJ181" s="49" t="s">
        <v>93</v>
      </c>
      <c r="AK181" s="49" t="s">
        <v>92</v>
      </c>
      <c r="AL181" s="49" t="s">
        <v>91</v>
      </c>
      <c r="AP181" s="167"/>
      <c r="AR181" s="9" t="s">
        <v>189</v>
      </c>
      <c r="AS181" s="49" t="s">
        <v>95</v>
      </c>
      <c r="AT181" s="49" t="s">
        <v>102</v>
      </c>
      <c r="AU181" s="49" t="s">
        <v>93</v>
      </c>
      <c r="AV181" s="49" t="s">
        <v>92</v>
      </c>
      <c r="AW181" s="49" t="s">
        <v>91</v>
      </c>
    </row>
    <row r="182" spans="20:50" x14ac:dyDescent="0.3">
      <c r="T182" s="213" t="s">
        <v>165</v>
      </c>
      <c r="U182" s="11" t="s">
        <v>188</v>
      </c>
      <c r="V182" s="165" t="s">
        <v>0</v>
      </c>
      <c r="W182" s="11">
        <f>0.6</f>
        <v>0.6</v>
      </c>
      <c r="X182" s="11">
        <f>0.6</f>
        <v>0.6</v>
      </c>
      <c r="Y182" s="11">
        <f>0.6</f>
        <v>0.6</v>
      </c>
      <c r="Z182" s="11">
        <f>0.6</f>
        <v>0.6</v>
      </c>
      <c r="AA182" s="12">
        <f>0.6</f>
        <v>0.6</v>
      </c>
      <c r="AE182" s="213" t="s">
        <v>165</v>
      </c>
      <c r="AF182" s="11" t="s">
        <v>188</v>
      </c>
      <c r="AG182" s="165" t="s">
        <v>0</v>
      </c>
      <c r="AH182" s="11">
        <v>0</v>
      </c>
      <c r="AI182" s="11">
        <v>0</v>
      </c>
      <c r="AJ182" s="11">
        <v>0</v>
      </c>
      <c r="AK182" s="11">
        <v>0</v>
      </c>
      <c r="AL182" s="12">
        <v>0</v>
      </c>
      <c r="AP182" s="213" t="s">
        <v>165</v>
      </c>
      <c r="AQ182" s="11" t="s">
        <v>188</v>
      </c>
      <c r="AR182" s="165" t="s">
        <v>0</v>
      </c>
      <c r="AS182" s="11">
        <f>VLOOKUP(AR197,$F$8:$H$17,2,TRUE)</f>
        <v>0.6</v>
      </c>
      <c r="AT182" s="11">
        <f>VLOOKUP(AS197,$F$8:$H$17,2,TRUE)</f>
        <v>0.25</v>
      </c>
      <c r="AU182" s="11">
        <f>VLOOKUP(AT197,$F$8:$H$17,2,TRUE)</f>
        <v>9.9999999999999978E-2</v>
      </c>
      <c r="AV182" s="11">
        <f>VLOOKUP(AU197,$F$8:$H$17,2,TRUE)</f>
        <v>9.9999999999999978E-2</v>
      </c>
      <c r="AW182" s="12">
        <f>VLOOKUP(AV197,$F$8:$H$17,2,TRUE)</f>
        <v>0</v>
      </c>
    </row>
    <row r="183" spans="20:50" x14ac:dyDescent="0.3">
      <c r="T183" s="209"/>
      <c r="U183" t="s">
        <v>186</v>
      </c>
      <c r="V183" s="2" t="s">
        <v>0</v>
      </c>
      <c r="W183">
        <f>1-W182</f>
        <v>0.4</v>
      </c>
      <c r="X183">
        <f>1-X182</f>
        <v>0.4</v>
      </c>
      <c r="Y183">
        <f>1-Y182</f>
        <v>0.4</v>
      </c>
      <c r="Z183">
        <f>1-Z182</f>
        <v>0.4</v>
      </c>
      <c r="AA183" s="14">
        <f>1-AA182</f>
        <v>0.4</v>
      </c>
      <c r="AE183" s="209"/>
      <c r="AF183" t="s">
        <v>163</v>
      </c>
      <c r="AG183" s="2" t="s">
        <v>0</v>
      </c>
      <c r="AH183">
        <f>1-AH182</f>
        <v>1</v>
      </c>
      <c r="AI183">
        <f>1-AI182</f>
        <v>1</v>
      </c>
      <c r="AJ183">
        <f>1-AJ182</f>
        <v>1</v>
      </c>
      <c r="AK183">
        <f>1-AK182</f>
        <v>1</v>
      </c>
      <c r="AL183" s="14">
        <f>1-AL182</f>
        <v>1</v>
      </c>
      <c r="AP183" s="209"/>
      <c r="AQ183" t="s">
        <v>163</v>
      </c>
      <c r="AR183" s="2" t="s">
        <v>0</v>
      </c>
      <c r="AS183">
        <f>1-AS182</f>
        <v>0.4</v>
      </c>
      <c r="AT183">
        <f>1-AT182</f>
        <v>0.75</v>
      </c>
      <c r="AU183">
        <f>1-AU182</f>
        <v>0.9</v>
      </c>
      <c r="AV183">
        <f>1-AV182</f>
        <v>0.9</v>
      </c>
      <c r="AW183" s="14">
        <f>1-AW182</f>
        <v>1</v>
      </c>
    </row>
    <row r="184" spans="20:50" x14ac:dyDescent="0.3">
      <c r="T184" s="209"/>
      <c r="V184" s="2"/>
      <c r="AA184" s="14"/>
      <c r="AE184" s="209"/>
      <c r="AG184" s="2"/>
      <c r="AL184" s="14"/>
      <c r="AP184" s="209"/>
      <c r="AR184" s="2"/>
      <c r="AW184" s="14"/>
    </row>
    <row r="185" spans="20:50" x14ac:dyDescent="0.3">
      <c r="T185" s="209"/>
      <c r="U185" t="s">
        <v>18</v>
      </c>
      <c r="V185" s="153" t="s">
        <v>0</v>
      </c>
      <c r="W185" s="152">
        <v>0.25940000000000002</v>
      </c>
      <c r="X185" s="152">
        <v>0.1482</v>
      </c>
      <c r="Y185" s="152">
        <v>2.1000000000000001E-2</v>
      </c>
      <c r="Z185" s="152">
        <v>0.15890000000000001</v>
      </c>
      <c r="AA185" s="151">
        <v>0.32150000000000001</v>
      </c>
      <c r="AE185" s="209"/>
      <c r="AF185" t="s">
        <v>18</v>
      </c>
      <c r="AG185" s="153" t="s">
        <v>0</v>
      </c>
      <c r="AH185" s="152">
        <v>0.25940000000000002</v>
      </c>
      <c r="AI185" s="152">
        <v>0.1482</v>
      </c>
      <c r="AJ185" s="152">
        <v>2.1000000000000001E-2</v>
      </c>
      <c r="AK185" s="152">
        <v>0.15890000000000001</v>
      </c>
      <c r="AL185" s="151">
        <v>0.32150000000000001</v>
      </c>
      <c r="AP185" s="209"/>
      <c r="AQ185" t="s">
        <v>18</v>
      </c>
      <c r="AR185" s="153" t="s">
        <v>0</v>
      </c>
      <c r="AS185" s="152">
        <v>0.25940000000000002</v>
      </c>
      <c r="AT185" s="152">
        <v>0.1482</v>
      </c>
      <c r="AU185" s="152">
        <v>2.1000000000000001E-2</v>
      </c>
      <c r="AV185" s="152">
        <v>0.15890000000000001</v>
      </c>
      <c r="AW185" s="151">
        <v>0.32150000000000001</v>
      </c>
    </row>
    <row r="186" spans="20:50" x14ac:dyDescent="0.3">
      <c r="T186" s="209"/>
      <c r="U186" t="s">
        <v>164</v>
      </c>
      <c r="V186" s="149" t="s">
        <v>0</v>
      </c>
      <c r="W186" s="148">
        <v>0.2021</v>
      </c>
      <c r="X186" s="148">
        <v>9.4100000000000003E-2</v>
      </c>
      <c r="Y186" s="148">
        <v>0.1226</v>
      </c>
      <c r="Z186" s="148">
        <v>9.3299999999999994E-2</v>
      </c>
      <c r="AA186" s="147">
        <v>-9.7999999999999997E-3</v>
      </c>
      <c r="AE186" s="209"/>
      <c r="AF186" t="s">
        <v>163</v>
      </c>
      <c r="AG186" s="146" t="s">
        <v>0</v>
      </c>
      <c r="AH186" s="182">
        <v>4.19E-2</v>
      </c>
      <c r="AI186" s="182">
        <v>0.11730196105616943</v>
      </c>
      <c r="AJ186" s="182">
        <v>0.1790416387153636</v>
      </c>
      <c r="AK186" s="182">
        <v>9.7901845706616586E-2</v>
      </c>
      <c r="AL186" s="181">
        <v>-6.2089486867026575E-2</v>
      </c>
      <c r="AP186" s="209"/>
      <c r="AQ186" t="s">
        <v>163</v>
      </c>
      <c r="AR186" s="146" t="s">
        <v>0</v>
      </c>
      <c r="AS186" s="182">
        <v>4.19E-2</v>
      </c>
      <c r="AT186" s="182">
        <v>0.11730196105616943</v>
      </c>
      <c r="AU186" s="182">
        <v>0.1790416387153636</v>
      </c>
      <c r="AV186" s="182">
        <v>9.7901845706616586E-2</v>
      </c>
      <c r="AW186" s="181">
        <v>-6.2089486867026575E-2</v>
      </c>
    </row>
    <row r="187" spans="20:50" x14ac:dyDescent="0.3">
      <c r="T187" s="209"/>
      <c r="U187" t="s">
        <v>16</v>
      </c>
      <c r="V187" s="2" t="s">
        <v>0</v>
      </c>
      <c r="W187" s="31">
        <f>W182*W185+W183*W186</f>
        <v>0.23648000000000002</v>
      </c>
      <c r="X187" s="31">
        <f>X182*X185+X183*X186</f>
        <v>0.12656000000000001</v>
      </c>
      <c r="Y187" s="31">
        <f>Y182*Y185+Y183*Y186</f>
        <v>6.164E-2</v>
      </c>
      <c r="Z187" s="31">
        <f>Z182*Z185+Z183*Z186</f>
        <v>0.13266</v>
      </c>
      <c r="AA187" s="34">
        <f>AA182*AA185+AA183*AA186</f>
        <v>0.18897999999999998</v>
      </c>
      <c r="AE187" s="209"/>
      <c r="AF187" t="s">
        <v>16</v>
      </c>
      <c r="AG187" s="2" t="s">
        <v>0</v>
      </c>
      <c r="AH187" s="31">
        <f>AH182*AH185+AH183*AH186</f>
        <v>4.19E-2</v>
      </c>
      <c r="AI187" s="31">
        <f>AI182*AI185+AI183*AI186</f>
        <v>0.11730196105616943</v>
      </c>
      <c r="AJ187" s="31">
        <f>AJ182*AJ185+AJ183*AJ186</f>
        <v>0.1790416387153636</v>
      </c>
      <c r="AK187" s="31">
        <f>AK182*AK185+AK183*AK186</f>
        <v>9.7901845706616586E-2</v>
      </c>
      <c r="AL187" s="34">
        <f>AL182*AL185+AL183*AL186</f>
        <v>-6.2089486867026575E-2</v>
      </c>
      <c r="AP187" s="209"/>
      <c r="AQ187" t="s">
        <v>16</v>
      </c>
      <c r="AR187" s="2" t="s">
        <v>0</v>
      </c>
      <c r="AS187" s="31">
        <f>AS182*AS185+AS183*AS186</f>
        <v>0.1724</v>
      </c>
      <c r="AT187" s="31">
        <f>AT182*AT185+AT183*AT186</f>
        <v>0.12502647079212709</v>
      </c>
      <c r="AU187" s="31">
        <f>AU182*AU185+AU183*AU186</f>
        <v>0.16323747484382725</v>
      </c>
      <c r="AV187" s="31">
        <f>AV182*AV185+AV183*AV186</f>
        <v>0.10400166113595494</v>
      </c>
      <c r="AW187" s="34">
        <f>AW182*AW185+AW183*AW186</f>
        <v>-6.2089486867026575E-2</v>
      </c>
    </row>
    <row r="188" spans="20:50" x14ac:dyDescent="0.3">
      <c r="T188" s="209"/>
      <c r="AA188" s="14"/>
      <c r="AE188" s="209"/>
      <c r="AL188" s="14"/>
      <c r="AP188" s="209"/>
      <c r="AW188" s="14"/>
    </row>
    <row r="189" spans="20:50" x14ac:dyDescent="0.3">
      <c r="T189" s="209"/>
      <c r="U189" t="s">
        <v>17</v>
      </c>
      <c r="V189" s="155">
        <v>5.5399999999999998E-2</v>
      </c>
      <c r="W189" s="155">
        <v>5.6599999999999998E-2</v>
      </c>
      <c r="X189" s="155">
        <v>5.1400000000000001E-2</v>
      </c>
      <c r="Y189" s="155">
        <v>4.0800000000000003E-2</v>
      </c>
      <c r="Z189" s="155">
        <v>3.5900000000000001E-2</v>
      </c>
      <c r="AA189" s="154">
        <v>4.4999999999999998E-2</v>
      </c>
      <c r="AE189" s="209"/>
      <c r="AF189" t="s">
        <v>17</v>
      </c>
      <c r="AG189" s="155">
        <v>5.5399999999999998E-2</v>
      </c>
      <c r="AH189" s="155">
        <v>5.6599999999999998E-2</v>
      </c>
      <c r="AI189" s="155">
        <v>5.1400000000000001E-2</v>
      </c>
      <c r="AJ189" s="155">
        <v>4.0800000000000003E-2</v>
      </c>
      <c r="AK189" s="155">
        <v>3.5900000000000001E-2</v>
      </c>
      <c r="AL189" s="154">
        <v>4.4999999999999998E-2</v>
      </c>
      <c r="AP189" s="209"/>
      <c r="AQ189" t="s">
        <v>17</v>
      </c>
      <c r="AR189" s="155">
        <f t="shared" ref="AR189:AW189" si="36">AG189</f>
        <v>5.5399999999999998E-2</v>
      </c>
      <c r="AS189" s="155">
        <f t="shared" si="36"/>
        <v>5.6599999999999998E-2</v>
      </c>
      <c r="AT189" s="155">
        <f t="shared" si="36"/>
        <v>5.1400000000000001E-2</v>
      </c>
      <c r="AU189" s="155">
        <f t="shared" si="36"/>
        <v>4.0800000000000003E-2</v>
      </c>
      <c r="AV189" s="155">
        <f t="shared" si="36"/>
        <v>3.5900000000000001E-2</v>
      </c>
      <c r="AW189" s="154">
        <f t="shared" si="36"/>
        <v>4.4999999999999998E-2</v>
      </c>
    </row>
    <row r="190" spans="20:50" x14ac:dyDescent="0.3">
      <c r="T190" s="209"/>
      <c r="U190" t="s">
        <v>177</v>
      </c>
      <c r="V190" s="2" t="s">
        <v>0</v>
      </c>
      <c r="W190">
        <v>12</v>
      </c>
      <c r="X190">
        <v>12</v>
      </c>
      <c r="Y190">
        <v>12</v>
      </c>
      <c r="Z190">
        <v>12</v>
      </c>
      <c r="AA190" s="14">
        <v>12</v>
      </c>
      <c r="AE190" s="209"/>
      <c r="AF190" t="s">
        <v>177</v>
      </c>
      <c r="AG190" s="2" t="s">
        <v>0</v>
      </c>
      <c r="AH190">
        <v>12</v>
      </c>
      <c r="AI190">
        <v>12</v>
      </c>
      <c r="AJ190">
        <v>12</v>
      </c>
      <c r="AK190">
        <v>12</v>
      </c>
      <c r="AL190" s="14">
        <v>12</v>
      </c>
      <c r="AP190" s="209"/>
      <c r="AQ190" t="s">
        <v>177</v>
      </c>
      <c r="AR190" s="2" t="s">
        <v>0</v>
      </c>
      <c r="AS190">
        <v>12</v>
      </c>
      <c r="AT190">
        <v>12</v>
      </c>
      <c r="AU190">
        <v>12</v>
      </c>
      <c r="AV190">
        <v>12</v>
      </c>
      <c r="AW190" s="14">
        <v>12</v>
      </c>
    </row>
    <row r="191" spans="20:50" x14ac:dyDescent="0.3">
      <c r="T191" s="209"/>
      <c r="AA191" s="14"/>
      <c r="AE191" s="209"/>
      <c r="AL191" s="14"/>
      <c r="AP191" s="209"/>
      <c r="AW191" s="14"/>
    </row>
    <row r="192" spans="20:50" x14ac:dyDescent="0.3">
      <c r="T192" s="209"/>
      <c r="U192" t="s">
        <v>176</v>
      </c>
      <c r="V192" s="2" t="s">
        <v>0</v>
      </c>
      <c r="W192" s="175">
        <f>$C$10</f>
        <v>25000000</v>
      </c>
      <c r="X192" s="175">
        <f>W192</f>
        <v>25000000</v>
      </c>
      <c r="Y192" s="175">
        <f>X192</f>
        <v>25000000</v>
      </c>
      <c r="Z192" s="175">
        <f>Y192</f>
        <v>25000000</v>
      </c>
      <c r="AA192" s="163">
        <f>Z192</f>
        <v>25000000</v>
      </c>
      <c r="AB192" s="175">
        <f>SUM(W192:Z192)</f>
        <v>100000000</v>
      </c>
      <c r="AC192" s="164"/>
      <c r="AE192" s="209"/>
      <c r="AF192" t="s">
        <v>176</v>
      </c>
      <c r="AG192" s="2" t="s">
        <v>0</v>
      </c>
      <c r="AH192" s="175">
        <f>$C$10</f>
        <v>25000000</v>
      </c>
      <c r="AI192" s="175">
        <f>AH192</f>
        <v>25000000</v>
      </c>
      <c r="AJ192" s="175">
        <f>AI192</f>
        <v>25000000</v>
      </c>
      <c r="AK192" s="175">
        <f>AJ192</f>
        <v>25000000</v>
      </c>
      <c r="AL192" s="180">
        <f>AK192</f>
        <v>25000000</v>
      </c>
      <c r="AM192" s="175">
        <f>SUM(AH192:AL192)</f>
        <v>125000000</v>
      </c>
      <c r="AP192" s="209"/>
      <c r="AQ192" t="s">
        <v>176</v>
      </c>
      <c r="AR192" s="2" t="s">
        <v>0</v>
      </c>
      <c r="AS192" s="175">
        <f>$C$10</f>
        <v>25000000</v>
      </c>
      <c r="AT192" s="175">
        <f>AS192</f>
        <v>25000000</v>
      </c>
      <c r="AU192" s="175">
        <f>AT192</f>
        <v>25000000</v>
      </c>
      <c r="AV192" s="175">
        <f>AU192</f>
        <v>25000000</v>
      </c>
      <c r="AW192" s="163">
        <f>AV192</f>
        <v>25000000</v>
      </c>
      <c r="AX192" s="175">
        <f>SUM(AS192:AV192)</f>
        <v>100000000</v>
      </c>
    </row>
    <row r="193" spans="20:50" x14ac:dyDescent="0.3">
      <c r="T193" s="209"/>
      <c r="U193" t="s">
        <v>174</v>
      </c>
      <c r="V193" s="2" t="s">
        <v>0</v>
      </c>
      <c r="W193" s="17">
        <f>$C$12</f>
        <v>5000000</v>
      </c>
      <c r="X193" s="17">
        <f>$C$13</f>
        <v>5500000</v>
      </c>
      <c r="Y193" s="17">
        <f>$C$14</f>
        <v>6500000</v>
      </c>
      <c r="Z193" s="17">
        <f>$C$15</f>
        <v>7000000</v>
      </c>
      <c r="AA193" s="18">
        <f>$C$16</f>
        <v>8000000</v>
      </c>
      <c r="AE193" s="209"/>
      <c r="AF193" t="s">
        <v>174</v>
      </c>
      <c r="AG193" s="2" t="s">
        <v>0</v>
      </c>
      <c r="AH193" s="17">
        <f>$C$12</f>
        <v>5000000</v>
      </c>
      <c r="AI193" s="17">
        <f>$C$13</f>
        <v>5500000</v>
      </c>
      <c r="AJ193" s="17">
        <f>$C$14</f>
        <v>6500000</v>
      </c>
      <c r="AK193" s="17">
        <f>$C$15</f>
        <v>7000000</v>
      </c>
      <c r="AL193" s="18">
        <f>$C$16</f>
        <v>8000000</v>
      </c>
      <c r="AP193" s="209"/>
      <c r="AQ193" t="s">
        <v>174</v>
      </c>
      <c r="AR193" s="2" t="s">
        <v>0</v>
      </c>
      <c r="AS193" s="17">
        <f>$C$12</f>
        <v>5000000</v>
      </c>
      <c r="AT193" s="17">
        <f>$C$13</f>
        <v>5500000</v>
      </c>
      <c r="AU193" s="17">
        <f>$C$14</f>
        <v>6500000</v>
      </c>
      <c r="AV193" s="17">
        <f>$C$15</f>
        <v>7000000</v>
      </c>
      <c r="AW193" s="18">
        <f>$C$16</f>
        <v>8000000</v>
      </c>
    </row>
    <row r="194" spans="20:50" x14ac:dyDescent="0.3">
      <c r="T194" s="209"/>
      <c r="AA194" s="14"/>
      <c r="AE194" s="209"/>
      <c r="AL194" s="14"/>
      <c r="AP194" s="209"/>
      <c r="AW194" s="14"/>
    </row>
    <row r="195" spans="20:50" x14ac:dyDescent="0.3">
      <c r="T195" s="209"/>
      <c r="U195" t="s">
        <v>171</v>
      </c>
      <c r="V195" s="17">
        <f>$C$8</f>
        <v>500000000</v>
      </c>
      <c r="W195" s="7">
        <f>(V195*(1+V189)-W193*(1+V189)^0.5)*(1+W190/100)^((V189-W189)*100)</f>
        <v>515504900.92386246</v>
      </c>
      <c r="X195" s="7">
        <f>(W195*(1+W189)-X193*(1+W189)^0.5)*(1+X190/100)^((W189-X189)*100)</f>
        <v>571749086.13428497</v>
      </c>
      <c r="Y195" s="7">
        <f>(X195*(1+X189)-Y193*(1+X189)^0.5)*(1+Y190/100)^((X189-Y189)*100)</f>
        <v>670351416.67041755</v>
      </c>
      <c r="Z195" s="7">
        <f>(Y195*(1+Y189)-Z193*(1+Y189)^0.5)*(1+Z190/100)^((Y189-Z189)*100)</f>
        <v>729992654.44056904</v>
      </c>
      <c r="AA195" s="15">
        <f>(Z195*(1+Z189)-AA193*(1+Z189)^0.5)*(1+AA190/100)^((Z189-AA189)*100)</f>
        <v>674755329.76263952</v>
      </c>
      <c r="AE195" s="209"/>
      <c r="AF195" t="s">
        <v>171</v>
      </c>
      <c r="AG195" s="17">
        <f>$C$8</f>
        <v>500000000</v>
      </c>
      <c r="AH195" s="7">
        <f>(AG195*(1+AG189)-AH193*(1+AG189)^0.5)*(1+AH190/100)^((AG189-AH189)*100)</f>
        <v>515504900.92386246</v>
      </c>
      <c r="AI195" s="7">
        <f>(AH195*(1+AH189)-AI193*(1+AH189)^0.5)*(1+AI190/100)^((AH189-AI189)*100)</f>
        <v>571749086.13428497</v>
      </c>
      <c r="AJ195" s="7">
        <f>(AI195*(1+AI189)-AJ193*(1+AI189)^0.5)*(1+AJ190/100)^((AI189-AJ189)*100)</f>
        <v>670351416.67041755</v>
      </c>
      <c r="AK195" s="7">
        <f>(AJ195*(1+AJ189)-AK193*(1+AJ189)^0.5)*(1+AK190/100)^((AJ189-AK189)*100)</f>
        <v>729992654.44056904</v>
      </c>
      <c r="AL195" s="15">
        <f>(AK195*(1+AK189)-AL193*(1+AK189)^0.5)*(1+AL190/100)^((AK189-AL189)*100)</f>
        <v>674755329.76263952</v>
      </c>
      <c r="AP195" s="209"/>
      <c r="AQ195" t="s">
        <v>171</v>
      </c>
      <c r="AR195" s="17">
        <f>$C$8</f>
        <v>500000000</v>
      </c>
      <c r="AS195" s="7">
        <f>(AR195*(1+AR189)-AS193*(1+AR189)^0.5)*(1+AS190/100)^((AR189-AS189)*100)</f>
        <v>515504900.92386246</v>
      </c>
      <c r="AT195" s="7">
        <f>(AS195*(1+AS189)-AT193*(1+AS189)^0.5)*(1+AT190/100)^((AS189-AT189)*100)</f>
        <v>571749086.13428497</v>
      </c>
      <c r="AU195" s="7">
        <f>(AT195*(1+AT189)-AU193*(1+AT189)^0.5)*(1+AU190/100)^((AT189-AU189)*100)</f>
        <v>670351416.67041755</v>
      </c>
      <c r="AV195" s="7">
        <f>(AU195*(1+AU189)-AV193*(1+AU189)^0.5)*(1+AV190/100)^((AU189-AV189)*100)</f>
        <v>729992654.44056904</v>
      </c>
      <c r="AW195" s="15">
        <f>(AV195*(1+AV189)-AW193*(1+AV189)^0.5)*(1+AW190/100)^((AV189-AW189)*100)</f>
        <v>674755329.76263952</v>
      </c>
    </row>
    <row r="196" spans="20:50" x14ac:dyDescent="0.3">
      <c r="T196" s="209"/>
      <c r="U196" t="s">
        <v>170</v>
      </c>
      <c r="V196" s="7">
        <f>$C$9</f>
        <v>425000000</v>
      </c>
      <c r="W196" s="7">
        <f>V196*(1+W187)+(W192-W193)*(1+W187)^0.5</f>
        <v>547743424.45298433</v>
      </c>
      <c r="X196" s="7">
        <f>W196*(1+X187)+(X192-X193)*(1+X187)^0.5</f>
        <v>637763040.75918329</v>
      </c>
      <c r="Y196" s="7">
        <f>X196*(1+Y187)+(Y192-Y193)*(1+Y187)^0.5</f>
        <v>696136399.06418455</v>
      </c>
      <c r="Z196" s="7">
        <f>Y196*(1+Z187)+(Z192-Z193)*(1+Z187)^0.5</f>
        <v>807642623.84670198</v>
      </c>
      <c r="AA196" s="15">
        <f>Z196*(1+AA187)+(AA192-AA193)*(1+AA187)^0.5</f>
        <v>978807788.01633799</v>
      </c>
      <c r="AE196" s="209"/>
      <c r="AF196" t="s">
        <v>170</v>
      </c>
      <c r="AG196" s="7">
        <f>$C$9</f>
        <v>425000000</v>
      </c>
      <c r="AH196" s="7">
        <f>AG196*(1+AH187)+(AH192-AH193)*(1+AH187)^0.5</f>
        <v>463222200.58560741</v>
      </c>
      <c r="AI196" s="7">
        <f>AH196*(1+AI187)+(AI192-AI193)*(1+AI187)^0.5</f>
        <v>538171061.63767064</v>
      </c>
      <c r="AJ196" s="7">
        <f>AI196*(1+AJ187)+(AJ192-AJ193)*(1+AJ187)^0.5</f>
        <v>654614071.92510426</v>
      </c>
      <c r="AK196" s="7">
        <f>AJ196*(1+AK187)+(AK192-AK193)*(1+AK187)^0.5</f>
        <v>737562543.86077952</v>
      </c>
      <c r="AL196" s="15">
        <f>AK196*(1+AL187)+(AL192-AL193)*(1+AL187)^0.5</f>
        <v>708231446.60427999</v>
      </c>
      <c r="AP196" s="209"/>
      <c r="AQ196" t="s">
        <v>170</v>
      </c>
      <c r="AR196" s="7">
        <f>$C$9</f>
        <v>425000000</v>
      </c>
      <c r="AS196" s="7">
        <f>AR196*(1+AS187)+(AS192-AS193)*(1+AS187)^0.5</f>
        <v>519925484.29382271</v>
      </c>
      <c r="AT196" s="7">
        <f>AS196*(1+AT187)+(AT192-AT193)*(1+AT187)^0.5</f>
        <v>605613049.34803808</v>
      </c>
      <c r="AU196" s="7">
        <f>AT196*(1+AU187)+(AU192-AU193)*(1+AU187)^0.5</f>
        <v>724424689.42859507</v>
      </c>
      <c r="AV196" s="7">
        <f>AU196*(1+AV187)+(AV192-AV193)*(1+AV187)^0.5</f>
        <v>818678927.49834573</v>
      </c>
      <c r="AW196" s="15">
        <f>AV196*(1+AW187)+(AW192-AW193)*(1+AW187)^0.5</f>
        <v>784311355.60528088</v>
      </c>
    </row>
    <row r="197" spans="20:50" ht="16.2" x14ac:dyDescent="0.45">
      <c r="T197" s="214"/>
      <c r="U197" s="23" t="s">
        <v>168</v>
      </c>
      <c r="V197" s="26">
        <f t="shared" ref="V197:AA197" si="37">V196/V195</f>
        <v>0.85</v>
      </c>
      <c r="W197" s="26">
        <f t="shared" si="37"/>
        <v>1.062537763406993</v>
      </c>
      <c r="X197" s="26">
        <f t="shared" si="37"/>
        <v>1.1154596591858721</v>
      </c>
      <c r="Y197" s="26">
        <f t="shared" si="37"/>
        <v>1.0384648734268944</v>
      </c>
      <c r="Z197" s="179">
        <f t="shared" si="37"/>
        <v>1.1063708914518326</v>
      </c>
      <c r="AA197" s="27">
        <f t="shared" si="37"/>
        <v>1.4506114214179766</v>
      </c>
      <c r="AB197" s="176">
        <f>1.1*Z195-Z196</f>
        <v>-4650703.9620759487</v>
      </c>
      <c r="AC197" s="178"/>
      <c r="AE197" s="214"/>
      <c r="AF197" s="23" t="s">
        <v>168</v>
      </c>
      <c r="AG197" s="26">
        <f t="shared" ref="AG197:AL197" si="38">AG196/AG195</f>
        <v>0.85</v>
      </c>
      <c r="AH197" s="26">
        <f t="shared" si="38"/>
        <v>0.89857962505389066</v>
      </c>
      <c r="AI197" s="26">
        <f t="shared" si="38"/>
        <v>0.94127139804692583</v>
      </c>
      <c r="AJ197" s="26">
        <f t="shared" si="38"/>
        <v>0.97652373911063028</v>
      </c>
      <c r="AK197" s="26">
        <f t="shared" si="38"/>
        <v>1.0103698158798757</v>
      </c>
      <c r="AL197" s="45">
        <f t="shared" si="38"/>
        <v>1.0496122303375008</v>
      </c>
      <c r="AM197" s="176">
        <f>1.1*AL195-AL196</f>
        <v>33999416.134623528</v>
      </c>
      <c r="AP197" s="214"/>
      <c r="AQ197" s="23" t="s">
        <v>168</v>
      </c>
      <c r="AR197" s="51">
        <f t="shared" ref="AR197:AW197" si="39">AR196/AR195</f>
        <v>0.85</v>
      </c>
      <c r="AS197" s="51">
        <f t="shared" si="39"/>
        <v>1.0085752499385319</v>
      </c>
      <c r="AT197" s="51">
        <f t="shared" si="39"/>
        <v>1.0592287141947432</v>
      </c>
      <c r="AU197" s="51">
        <f t="shared" si="39"/>
        <v>1.0806640687458455</v>
      </c>
      <c r="AV197" s="177">
        <f t="shared" si="39"/>
        <v>1.1214892677594701</v>
      </c>
      <c r="AW197" s="50">
        <f t="shared" si="39"/>
        <v>1.1623640762958927</v>
      </c>
      <c r="AX197" s="176">
        <f>1.1*AV195-AV196</f>
        <v>-15687007.613719702</v>
      </c>
    </row>
    <row r="198" spans="20:50" x14ac:dyDescent="0.3">
      <c r="AB198" s="175">
        <f>AB192+AB197</f>
        <v>95349296.037924051</v>
      </c>
      <c r="AC198" s="164"/>
      <c r="AM198" s="175">
        <f>AM192+AM197</f>
        <v>158999416.13462353</v>
      </c>
      <c r="AX198" s="175">
        <f>AX192+AX197</f>
        <v>84312992.386280298</v>
      </c>
    </row>
  </sheetData>
  <mergeCells count="43">
    <mergeCell ref="F6:H6"/>
    <mergeCell ref="T11:T26"/>
    <mergeCell ref="T30:T45"/>
    <mergeCell ref="T49:T64"/>
    <mergeCell ref="B21:B23"/>
    <mergeCell ref="B26:B28"/>
    <mergeCell ref="B31:B33"/>
    <mergeCell ref="B36:B38"/>
    <mergeCell ref="B41:B43"/>
    <mergeCell ref="B46:B48"/>
    <mergeCell ref="B51:B53"/>
    <mergeCell ref="B56:B58"/>
    <mergeCell ref="B61:B63"/>
    <mergeCell ref="AE144:AE159"/>
    <mergeCell ref="AE163:AE178"/>
    <mergeCell ref="T68:T83"/>
    <mergeCell ref="T87:T102"/>
    <mergeCell ref="T106:T121"/>
    <mergeCell ref="T125:T140"/>
    <mergeCell ref="AE125:AE140"/>
    <mergeCell ref="B66:B68"/>
    <mergeCell ref="M7:Q7"/>
    <mergeCell ref="L26:Q64"/>
    <mergeCell ref="AP11:AP26"/>
    <mergeCell ref="AP30:AP45"/>
    <mergeCell ref="AP49:AP64"/>
    <mergeCell ref="AE49:AE64"/>
    <mergeCell ref="AP144:AP159"/>
    <mergeCell ref="AP163:AP178"/>
    <mergeCell ref="AE182:AE197"/>
    <mergeCell ref="T182:T197"/>
    <mergeCell ref="AE11:AE26"/>
    <mergeCell ref="AE30:AE45"/>
    <mergeCell ref="AP182:AP197"/>
    <mergeCell ref="AP68:AP83"/>
    <mergeCell ref="AP87:AP102"/>
    <mergeCell ref="AP106:AP121"/>
    <mergeCell ref="AP125:AP140"/>
    <mergeCell ref="T144:T159"/>
    <mergeCell ref="T163:T178"/>
    <mergeCell ref="AE68:AE83"/>
    <mergeCell ref="AE87:AE102"/>
    <mergeCell ref="AE106:AE1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A53E3-D6BD-40A4-B368-100A03547BAE}">
  <sheetPr>
    <tabColor theme="5" tint="0.39997558519241921"/>
  </sheetPr>
  <dimension ref="A1:P69"/>
  <sheetViews>
    <sheetView zoomScale="115" zoomScaleNormal="115" workbookViewId="0"/>
  </sheetViews>
  <sheetFormatPr defaultRowHeight="14.4" x14ac:dyDescent="0.3"/>
  <cols>
    <col min="1" max="2" width="4.6640625" customWidth="1"/>
    <col min="15" max="15" width="8" bestFit="1" customWidth="1"/>
    <col min="16" max="17" width="17.88671875" bestFit="1" customWidth="1"/>
  </cols>
  <sheetData>
    <row r="1" spans="1:13" x14ac:dyDescent="0.3">
      <c r="A1" s="186" t="s">
        <v>222</v>
      </c>
    </row>
    <row r="3" spans="1:13" x14ac:dyDescent="0.3">
      <c r="A3" s="1" t="s">
        <v>1</v>
      </c>
    </row>
    <row r="4" spans="1:13" x14ac:dyDescent="0.3">
      <c r="A4" t="s">
        <v>60</v>
      </c>
    </row>
    <row r="6" spans="1:13" x14ac:dyDescent="0.3">
      <c r="C6" s="188" t="s">
        <v>22</v>
      </c>
      <c r="D6" s="188"/>
      <c r="E6" s="188"/>
      <c r="F6" s="188"/>
      <c r="G6" s="188"/>
      <c r="H6" s="188"/>
      <c r="I6" s="188"/>
      <c r="J6" s="188"/>
      <c r="K6" s="188"/>
      <c r="L6" s="188"/>
      <c r="M6" s="188"/>
    </row>
    <row r="7" spans="1:13" x14ac:dyDescent="0.3">
      <c r="C7" s="188"/>
      <c r="D7" s="188"/>
      <c r="E7" s="188"/>
      <c r="F7" s="188"/>
      <c r="G7" s="188"/>
      <c r="H7" s="188"/>
      <c r="I7" s="188"/>
      <c r="J7" s="188"/>
      <c r="K7" s="188"/>
      <c r="L7" s="188"/>
      <c r="M7" s="188"/>
    </row>
    <row r="8" spans="1:13" x14ac:dyDescent="0.3">
      <c r="C8" s="188"/>
      <c r="D8" s="188"/>
      <c r="E8" s="188"/>
      <c r="F8" s="188"/>
      <c r="G8" s="188"/>
      <c r="H8" s="188"/>
      <c r="I8" s="188"/>
      <c r="J8" s="188"/>
      <c r="K8" s="188"/>
      <c r="L8" s="188"/>
      <c r="M8" s="188"/>
    </row>
    <row r="9" spans="1:13" x14ac:dyDescent="0.3">
      <c r="C9" s="188"/>
      <c r="D9" s="188"/>
      <c r="E9" s="188"/>
      <c r="F9" s="188"/>
      <c r="G9" s="188"/>
      <c r="H9" s="188"/>
      <c r="I9" s="188"/>
      <c r="J9" s="188"/>
      <c r="K9" s="188"/>
      <c r="L9" s="188"/>
      <c r="M9" s="188"/>
    </row>
    <row r="10" spans="1:13" x14ac:dyDescent="0.3">
      <c r="C10" s="188"/>
      <c r="D10" s="188"/>
      <c r="E10" s="188"/>
      <c r="F10" s="188"/>
      <c r="G10" s="188"/>
      <c r="H10" s="188"/>
      <c r="I10" s="188"/>
      <c r="J10" s="188"/>
      <c r="K10" s="188"/>
      <c r="L10" s="188"/>
      <c r="M10" s="188"/>
    </row>
    <row r="11" spans="1:13" x14ac:dyDescent="0.3">
      <c r="C11" s="188"/>
      <c r="D11" s="188"/>
      <c r="E11" s="188"/>
      <c r="F11" s="188"/>
      <c r="G11" s="188"/>
      <c r="H11" s="188"/>
      <c r="I11" s="188"/>
      <c r="J11" s="188"/>
      <c r="K11" s="188"/>
      <c r="L11" s="188"/>
      <c r="M11" s="188"/>
    </row>
    <row r="12" spans="1:13" x14ac:dyDescent="0.3">
      <c r="C12" s="188"/>
      <c r="D12" s="188"/>
      <c r="E12" s="188"/>
      <c r="F12" s="188"/>
      <c r="G12" s="188"/>
      <c r="H12" s="188"/>
      <c r="I12" s="188"/>
      <c r="J12" s="188"/>
      <c r="K12" s="188"/>
      <c r="L12" s="188"/>
      <c r="M12" s="188"/>
    </row>
    <row r="13" spans="1:13" x14ac:dyDescent="0.3">
      <c r="C13" s="188"/>
      <c r="D13" s="188"/>
      <c r="E13" s="188"/>
      <c r="F13" s="188"/>
      <c r="G13" s="188"/>
      <c r="H13" s="188"/>
      <c r="I13" s="188"/>
      <c r="J13" s="188"/>
      <c r="K13" s="188"/>
      <c r="L13" s="188"/>
      <c r="M13" s="188"/>
    </row>
    <row r="14" spans="1:13" x14ac:dyDescent="0.3">
      <c r="C14" s="188"/>
      <c r="D14" s="188"/>
      <c r="E14" s="188"/>
      <c r="F14" s="188"/>
      <c r="G14" s="188"/>
      <c r="H14" s="188"/>
      <c r="I14" s="188"/>
      <c r="J14" s="188"/>
      <c r="K14" s="188"/>
      <c r="L14" s="188"/>
      <c r="M14" s="188"/>
    </row>
    <row r="15" spans="1:13" x14ac:dyDescent="0.3">
      <c r="C15" s="188"/>
      <c r="D15" s="188"/>
      <c r="E15" s="188"/>
      <c r="F15" s="188"/>
      <c r="G15" s="188"/>
      <c r="H15" s="188"/>
      <c r="I15" s="188"/>
      <c r="J15" s="188"/>
      <c r="K15" s="188"/>
      <c r="L15" s="188"/>
      <c r="M15" s="188"/>
    </row>
    <row r="16" spans="1:13" x14ac:dyDescent="0.3">
      <c r="C16" s="188"/>
      <c r="D16" s="188"/>
      <c r="E16" s="188"/>
      <c r="F16" s="188"/>
      <c r="G16" s="188"/>
      <c r="H16" s="188"/>
      <c r="I16" s="188"/>
      <c r="J16" s="188"/>
      <c r="K16" s="188"/>
      <c r="L16" s="188"/>
      <c r="M16" s="188"/>
    </row>
    <row r="17" spans="3:13" x14ac:dyDescent="0.3">
      <c r="C17" s="188"/>
      <c r="D17" s="188"/>
      <c r="E17" s="188"/>
      <c r="F17" s="188"/>
      <c r="G17" s="188"/>
      <c r="H17" s="188"/>
      <c r="I17" s="188"/>
      <c r="J17" s="188"/>
      <c r="K17" s="188"/>
      <c r="L17" s="188"/>
      <c r="M17" s="188"/>
    </row>
    <row r="18" spans="3:13" x14ac:dyDescent="0.3">
      <c r="C18" s="188"/>
      <c r="D18" s="188"/>
      <c r="E18" s="188"/>
      <c r="F18" s="188"/>
      <c r="G18" s="188"/>
      <c r="H18" s="188"/>
      <c r="I18" s="188"/>
      <c r="J18" s="188"/>
      <c r="K18" s="188"/>
      <c r="L18" s="188"/>
      <c r="M18" s="188"/>
    </row>
    <row r="19" spans="3:13" x14ac:dyDescent="0.3">
      <c r="C19" s="188"/>
      <c r="D19" s="188"/>
      <c r="E19" s="188"/>
      <c r="F19" s="188"/>
      <c r="G19" s="188"/>
      <c r="H19" s="188"/>
      <c r="I19" s="188"/>
      <c r="J19" s="188"/>
      <c r="K19" s="188"/>
      <c r="L19" s="188"/>
      <c r="M19" s="188"/>
    </row>
    <row r="20" spans="3:13" x14ac:dyDescent="0.3">
      <c r="C20" s="188"/>
      <c r="D20" s="188"/>
      <c r="E20" s="188"/>
      <c r="F20" s="188"/>
      <c r="G20" s="188"/>
      <c r="H20" s="188"/>
      <c r="I20" s="188"/>
      <c r="J20" s="188"/>
      <c r="K20" s="188"/>
      <c r="L20" s="188"/>
      <c r="M20" s="188"/>
    </row>
    <row r="21" spans="3:13" x14ac:dyDescent="0.3">
      <c r="C21" s="188"/>
      <c r="D21" s="188"/>
      <c r="E21" s="188"/>
      <c r="F21" s="188"/>
      <c r="G21" s="188"/>
      <c r="H21" s="188"/>
      <c r="I21" s="188"/>
      <c r="J21" s="188"/>
      <c r="K21" s="188"/>
      <c r="L21" s="188"/>
      <c r="M21" s="188"/>
    </row>
    <row r="22" spans="3:13" x14ac:dyDescent="0.3">
      <c r="C22" s="188"/>
      <c r="D22" s="188"/>
      <c r="E22" s="188"/>
      <c r="F22" s="188"/>
      <c r="G22" s="188"/>
      <c r="H22" s="188"/>
      <c r="I22" s="188"/>
      <c r="J22" s="188"/>
      <c r="K22" s="188"/>
      <c r="L22" s="188"/>
      <c r="M22" s="188"/>
    </row>
    <row r="23" spans="3:13" x14ac:dyDescent="0.3">
      <c r="C23" s="188"/>
      <c r="D23" s="188"/>
      <c r="E23" s="188"/>
      <c r="F23" s="188"/>
      <c r="G23" s="188"/>
      <c r="H23" s="188"/>
      <c r="I23" s="188"/>
      <c r="J23" s="188"/>
      <c r="K23" s="188"/>
      <c r="L23" s="188"/>
      <c r="M23" s="188"/>
    </row>
    <row r="24" spans="3:13" x14ac:dyDescent="0.3">
      <c r="C24" s="188"/>
      <c r="D24" s="188"/>
      <c r="E24" s="188"/>
      <c r="F24" s="188"/>
      <c r="G24" s="188"/>
      <c r="H24" s="188"/>
      <c r="I24" s="188"/>
      <c r="J24" s="188"/>
      <c r="K24" s="188"/>
      <c r="L24" s="188"/>
      <c r="M24" s="188"/>
    </row>
    <row r="25" spans="3:13" x14ac:dyDescent="0.3">
      <c r="C25" s="188"/>
      <c r="D25" s="188"/>
      <c r="E25" s="188"/>
      <c r="F25" s="188"/>
      <c r="G25" s="188"/>
      <c r="H25" s="188"/>
      <c r="I25" s="188"/>
      <c r="J25" s="188"/>
      <c r="K25" s="188"/>
      <c r="L25" s="188"/>
      <c r="M25" s="188"/>
    </row>
    <row r="26" spans="3:13" x14ac:dyDescent="0.3">
      <c r="C26" s="188"/>
      <c r="D26" s="188"/>
      <c r="E26" s="188"/>
      <c r="F26" s="188"/>
      <c r="G26" s="188"/>
      <c r="H26" s="188"/>
      <c r="I26" s="188"/>
      <c r="J26" s="188"/>
      <c r="K26" s="188"/>
      <c r="L26" s="188"/>
      <c r="M26" s="188"/>
    </row>
    <row r="27" spans="3:13" x14ac:dyDescent="0.3">
      <c r="C27" s="188"/>
      <c r="D27" s="188"/>
      <c r="E27" s="188"/>
      <c r="F27" s="188"/>
      <c r="G27" s="188"/>
      <c r="H27" s="188"/>
      <c r="I27" s="188"/>
      <c r="J27" s="188"/>
      <c r="K27" s="188"/>
      <c r="L27" s="188"/>
      <c r="M27" s="188"/>
    </row>
    <row r="28" spans="3:13" x14ac:dyDescent="0.3">
      <c r="C28" s="188"/>
      <c r="D28" s="188"/>
      <c r="E28" s="188"/>
      <c r="F28" s="188"/>
      <c r="G28" s="188"/>
      <c r="H28" s="188"/>
      <c r="I28" s="188"/>
      <c r="J28" s="188"/>
      <c r="K28" s="188"/>
      <c r="L28" s="188"/>
      <c r="M28" s="188"/>
    </row>
    <row r="29" spans="3:13" x14ac:dyDescent="0.3">
      <c r="C29" s="188"/>
      <c r="D29" s="188"/>
      <c r="E29" s="188"/>
      <c r="F29" s="188"/>
      <c r="G29" s="188"/>
      <c r="H29" s="188"/>
      <c r="I29" s="188"/>
      <c r="J29" s="188"/>
      <c r="K29" s="188"/>
      <c r="L29" s="188"/>
      <c r="M29" s="188"/>
    </row>
    <row r="30" spans="3:13" x14ac:dyDescent="0.3">
      <c r="C30" s="188"/>
      <c r="D30" s="188"/>
      <c r="E30" s="188"/>
      <c r="F30" s="188"/>
      <c r="G30" s="188"/>
      <c r="H30" s="188"/>
      <c r="I30" s="188"/>
      <c r="J30" s="188"/>
      <c r="K30" s="188"/>
      <c r="L30" s="188"/>
      <c r="M30" s="188"/>
    </row>
    <row r="31" spans="3:13" x14ac:dyDescent="0.3">
      <c r="C31" s="188"/>
      <c r="D31" s="188"/>
      <c r="E31" s="188"/>
      <c r="F31" s="188"/>
      <c r="G31" s="188"/>
      <c r="H31" s="188"/>
      <c r="I31" s="188"/>
      <c r="J31" s="188"/>
      <c r="K31" s="188"/>
      <c r="L31" s="188"/>
      <c r="M31" s="188"/>
    </row>
    <row r="32" spans="3:13" x14ac:dyDescent="0.3">
      <c r="C32" s="188"/>
      <c r="D32" s="188"/>
      <c r="E32" s="188"/>
      <c r="F32" s="188"/>
      <c r="G32" s="188"/>
      <c r="H32" s="188"/>
      <c r="I32" s="188"/>
      <c r="J32" s="188"/>
      <c r="K32" s="188"/>
      <c r="L32" s="188"/>
      <c r="M32" s="188"/>
    </row>
    <row r="33" spans="3:16" x14ac:dyDescent="0.3">
      <c r="C33" s="188"/>
      <c r="D33" s="188"/>
      <c r="E33" s="188"/>
      <c r="F33" s="188"/>
      <c r="G33" s="188"/>
      <c r="H33" s="188"/>
      <c r="I33" s="188"/>
      <c r="J33" s="188"/>
      <c r="K33" s="188"/>
      <c r="L33" s="188"/>
      <c r="M33" s="188"/>
    </row>
    <row r="34" spans="3:16" x14ac:dyDescent="0.3">
      <c r="C34" s="188"/>
      <c r="D34" s="188"/>
      <c r="E34" s="188"/>
      <c r="F34" s="188"/>
      <c r="G34" s="188"/>
      <c r="H34" s="188"/>
      <c r="I34" s="188"/>
      <c r="J34" s="188"/>
      <c r="K34" s="188"/>
      <c r="L34" s="188"/>
      <c r="M34" s="188"/>
      <c r="O34" s="4" t="s">
        <v>6</v>
      </c>
    </row>
    <row r="35" spans="3:16" x14ac:dyDescent="0.3">
      <c r="C35" s="188"/>
      <c r="D35" s="188"/>
      <c r="E35" s="188"/>
      <c r="F35" s="188"/>
      <c r="G35" s="188"/>
      <c r="H35" s="188"/>
      <c r="I35" s="188"/>
      <c r="J35" s="188"/>
      <c r="K35" s="188"/>
      <c r="L35" s="188"/>
      <c r="M35" s="188"/>
      <c r="O35" t="s">
        <v>21</v>
      </c>
      <c r="P35" t="s">
        <v>20</v>
      </c>
    </row>
    <row r="36" spans="3:16" x14ac:dyDescent="0.3">
      <c r="C36" s="188"/>
      <c r="D36" s="188"/>
      <c r="E36" s="188"/>
      <c r="F36" s="188"/>
      <c r="G36" s="188"/>
      <c r="H36" s="188"/>
      <c r="I36" s="188"/>
      <c r="J36" s="188"/>
      <c r="K36" s="188"/>
      <c r="L36" s="188"/>
      <c r="M36" s="188"/>
      <c r="O36">
        <v>60</v>
      </c>
      <c r="P36" s="56">
        <v>80000</v>
      </c>
    </row>
    <row r="37" spans="3:16" x14ac:dyDescent="0.3">
      <c r="C37" s="188"/>
      <c r="D37" s="188"/>
      <c r="E37" s="188"/>
      <c r="F37" s="188"/>
      <c r="G37" s="188"/>
      <c r="H37" s="188"/>
      <c r="I37" s="188"/>
      <c r="J37" s="188"/>
      <c r="K37" s="188"/>
      <c r="L37" s="188"/>
      <c r="M37" s="188"/>
      <c r="O37">
        <v>61</v>
      </c>
      <c r="P37" s="56">
        <v>83000</v>
      </c>
    </row>
    <row r="38" spans="3:16" x14ac:dyDescent="0.3">
      <c r="C38" s="188"/>
      <c r="D38" s="188"/>
      <c r="E38" s="188"/>
      <c r="F38" s="188"/>
      <c r="G38" s="188"/>
      <c r="H38" s="188"/>
      <c r="I38" s="188"/>
      <c r="J38" s="188"/>
      <c r="K38" s="188"/>
      <c r="L38" s="188"/>
      <c r="M38" s="188"/>
      <c r="O38">
        <v>62</v>
      </c>
      <c r="P38" s="56">
        <v>85000</v>
      </c>
    </row>
    <row r="39" spans="3:16" x14ac:dyDescent="0.3">
      <c r="C39" s="188"/>
      <c r="D39" s="188"/>
      <c r="E39" s="188"/>
      <c r="F39" s="188"/>
      <c r="G39" s="188"/>
      <c r="H39" s="188"/>
      <c r="I39" s="188"/>
      <c r="J39" s="188"/>
      <c r="K39" s="188"/>
      <c r="L39" s="188"/>
      <c r="M39" s="188"/>
      <c r="O39">
        <v>63</v>
      </c>
      <c r="P39" s="56">
        <v>89000</v>
      </c>
    </row>
    <row r="40" spans="3:16" x14ac:dyDescent="0.3">
      <c r="C40" s="188"/>
      <c r="D40" s="188"/>
      <c r="E40" s="188"/>
      <c r="F40" s="188"/>
      <c r="G40" s="188"/>
      <c r="H40" s="188"/>
      <c r="I40" s="188"/>
      <c r="J40" s="188"/>
      <c r="K40" s="188"/>
      <c r="L40" s="188"/>
      <c r="M40" s="188"/>
      <c r="O40">
        <v>64</v>
      </c>
      <c r="P40" s="56">
        <v>93000</v>
      </c>
    </row>
    <row r="41" spans="3:16" x14ac:dyDescent="0.3">
      <c r="C41" s="188"/>
      <c r="D41" s="188"/>
      <c r="E41" s="188"/>
      <c r="F41" s="188"/>
      <c r="G41" s="188"/>
      <c r="H41" s="188"/>
      <c r="I41" s="188"/>
      <c r="J41" s="188"/>
      <c r="K41" s="188"/>
      <c r="L41" s="188"/>
      <c r="M41" s="188"/>
      <c r="O41">
        <v>65</v>
      </c>
      <c r="P41" s="55">
        <v>95000</v>
      </c>
    </row>
    <row r="42" spans="3:16" x14ac:dyDescent="0.3">
      <c r="C42" s="188"/>
      <c r="D42" s="188"/>
      <c r="E42" s="188"/>
      <c r="F42" s="188"/>
      <c r="G42" s="188"/>
      <c r="H42" s="188"/>
      <c r="I42" s="188"/>
      <c r="J42" s="188"/>
      <c r="K42" s="188"/>
      <c r="L42" s="188"/>
      <c r="M42" s="188"/>
      <c r="O42">
        <v>66</v>
      </c>
      <c r="P42" s="55">
        <v>100000</v>
      </c>
    </row>
    <row r="43" spans="3:16" x14ac:dyDescent="0.3">
      <c r="C43" s="188"/>
      <c r="D43" s="188"/>
      <c r="E43" s="188"/>
      <c r="F43" s="188"/>
      <c r="G43" s="188"/>
      <c r="H43" s="188"/>
      <c r="I43" s="188"/>
      <c r="J43" s="188"/>
      <c r="K43" s="188"/>
      <c r="L43" s="188"/>
      <c r="M43" s="188"/>
    </row>
    <row r="44" spans="3:16" x14ac:dyDescent="0.3">
      <c r="C44" s="188"/>
      <c r="D44" s="188"/>
      <c r="E44" s="188"/>
      <c r="F44" s="188"/>
      <c r="G44" s="188"/>
      <c r="H44" s="188"/>
      <c r="I44" s="188"/>
      <c r="J44" s="188"/>
      <c r="K44" s="188"/>
      <c r="L44" s="188"/>
      <c r="M44" s="188"/>
    </row>
    <row r="45" spans="3:16" x14ac:dyDescent="0.3">
      <c r="C45" s="188"/>
      <c r="D45" s="188"/>
      <c r="E45" s="188"/>
      <c r="F45" s="188"/>
      <c r="G45" s="188"/>
      <c r="H45" s="188"/>
      <c r="I45" s="188"/>
      <c r="J45" s="188"/>
      <c r="K45" s="188"/>
      <c r="L45" s="188"/>
      <c r="M45" s="188"/>
    </row>
    <row r="46" spans="3:16" x14ac:dyDescent="0.3">
      <c r="C46" s="188"/>
      <c r="D46" s="188"/>
      <c r="E46" s="188"/>
      <c r="F46" s="188"/>
      <c r="G46" s="188"/>
      <c r="H46" s="188"/>
      <c r="I46" s="188"/>
      <c r="J46" s="188"/>
      <c r="K46" s="188"/>
      <c r="L46" s="188"/>
      <c r="M46" s="188"/>
    </row>
    <row r="47" spans="3:16" x14ac:dyDescent="0.3">
      <c r="C47" s="188"/>
      <c r="D47" s="188"/>
      <c r="E47" s="188"/>
      <c r="F47" s="188"/>
      <c r="G47" s="188"/>
      <c r="H47" s="188"/>
      <c r="I47" s="188"/>
      <c r="J47" s="188"/>
      <c r="K47" s="188"/>
      <c r="L47" s="188"/>
      <c r="M47" s="188"/>
    </row>
    <row r="48" spans="3:16" x14ac:dyDescent="0.3">
      <c r="C48" s="188"/>
      <c r="D48" s="188"/>
      <c r="E48" s="188"/>
      <c r="F48" s="188"/>
      <c r="G48" s="188"/>
      <c r="H48" s="188"/>
      <c r="I48" s="188"/>
      <c r="J48" s="188"/>
      <c r="K48" s="188"/>
      <c r="L48" s="188"/>
      <c r="M48" s="188"/>
      <c r="P48">
        <v>0.99260000000000004</v>
      </c>
    </row>
    <row r="49" spans="3:16" x14ac:dyDescent="0.3">
      <c r="C49" s="188"/>
      <c r="D49" s="188"/>
      <c r="E49" s="188"/>
      <c r="F49" s="188"/>
      <c r="G49" s="188"/>
      <c r="H49" s="188"/>
      <c r="I49" s="188"/>
      <c r="J49" s="188"/>
      <c r="K49" s="188"/>
      <c r="L49" s="188"/>
      <c r="M49" s="188"/>
      <c r="P49">
        <v>0.99170000000000003</v>
      </c>
    </row>
    <row r="50" spans="3:16" x14ac:dyDescent="0.3">
      <c r="C50" s="188"/>
      <c r="D50" s="188"/>
      <c r="E50" s="188"/>
      <c r="F50" s="188"/>
      <c r="G50" s="188"/>
      <c r="H50" s="188"/>
      <c r="I50" s="188"/>
      <c r="J50" s="188"/>
      <c r="K50" s="188"/>
      <c r="L50" s="188"/>
      <c r="M50" s="188"/>
      <c r="P50">
        <v>0.99080000000000001</v>
      </c>
    </row>
    <row r="51" spans="3:16" x14ac:dyDescent="0.3">
      <c r="C51" s="188"/>
      <c r="D51" s="188"/>
      <c r="E51" s="188"/>
      <c r="F51" s="188"/>
      <c r="G51" s="188"/>
      <c r="H51" s="188"/>
      <c r="I51" s="188"/>
      <c r="J51" s="188"/>
      <c r="K51" s="188"/>
      <c r="L51" s="188"/>
      <c r="M51" s="188"/>
      <c r="P51">
        <v>0.98980000000000001</v>
      </c>
    </row>
    <row r="52" spans="3:16" x14ac:dyDescent="0.3">
      <c r="C52" s="188"/>
      <c r="D52" s="188"/>
      <c r="E52" s="188"/>
      <c r="F52" s="188"/>
      <c r="G52" s="188"/>
      <c r="H52" s="188"/>
      <c r="I52" s="188"/>
      <c r="J52" s="188"/>
      <c r="K52" s="188"/>
      <c r="L52" s="188"/>
      <c r="M52" s="188"/>
      <c r="P52">
        <v>0.98870000000000002</v>
      </c>
    </row>
    <row r="53" spans="3:16" x14ac:dyDescent="0.3">
      <c r="C53" s="188"/>
      <c r="D53" s="188"/>
      <c r="E53" s="188"/>
      <c r="F53" s="188"/>
      <c r="G53" s="188"/>
      <c r="H53" s="188"/>
      <c r="I53" s="188"/>
      <c r="J53" s="188"/>
      <c r="K53" s="188"/>
      <c r="L53" s="188"/>
      <c r="M53" s="188"/>
      <c r="P53">
        <v>0.98750000000000004</v>
      </c>
    </row>
    <row r="54" spans="3:16" x14ac:dyDescent="0.3">
      <c r="C54" s="188"/>
      <c r="D54" s="188"/>
      <c r="E54" s="188"/>
      <c r="F54" s="188"/>
      <c r="G54" s="188"/>
      <c r="H54" s="188"/>
      <c r="I54" s="188"/>
      <c r="J54" s="188"/>
      <c r="K54" s="188"/>
      <c r="L54" s="188"/>
      <c r="M54" s="188"/>
      <c r="P54" s="54">
        <v>0.98599999999999999</v>
      </c>
    </row>
    <row r="55" spans="3:16" x14ac:dyDescent="0.3">
      <c r="C55" s="188"/>
      <c r="D55" s="188"/>
      <c r="E55" s="188"/>
      <c r="F55" s="188"/>
      <c r="G55" s="188"/>
      <c r="H55" s="188"/>
      <c r="I55" s="188"/>
      <c r="J55" s="188"/>
      <c r="K55" s="188"/>
      <c r="L55" s="188"/>
      <c r="M55" s="188"/>
    </row>
    <row r="56" spans="3:16" x14ac:dyDescent="0.3">
      <c r="C56" s="188"/>
      <c r="D56" s="188"/>
      <c r="E56" s="188"/>
      <c r="F56" s="188"/>
      <c r="G56" s="188"/>
      <c r="H56" s="188"/>
      <c r="I56" s="188"/>
      <c r="J56" s="188"/>
      <c r="K56" s="188"/>
      <c r="L56" s="188"/>
      <c r="M56" s="188"/>
    </row>
    <row r="57" spans="3:16" x14ac:dyDescent="0.3">
      <c r="C57" s="188"/>
      <c r="D57" s="188"/>
      <c r="E57" s="188"/>
      <c r="F57" s="188"/>
      <c r="G57" s="188"/>
      <c r="H57" s="188"/>
      <c r="I57" s="188"/>
      <c r="J57" s="188"/>
      <c r="K57" s="188"/>
      <c r="L57" s="188"/>
      <c r="M57" s="188"/>
      <c r="P57">
        <v>12.534000000000001</v>
      </c>
    </row>
    <row r="58" spans="3:16" x14ac:dyDescent="0.3">
      <c r="C58" s="188"/>
      <c r="D58" s="188"/>
      <c r="E58" s="188"/>
      <c r="F58" s="188"/>
      <c r="G58" s="188"/>
      <c r="H58" s="188"/>
      <c r="I58" s="188"/>
      <c r="J58" s="188"/>
      <c r="K58" s="188"/>
      <c r="L58" s="188"/>
      <c r="M58" s="188"/>
      <c r="P58">
        <v>11.914999999999999</v>
      </c>
    </row>
    <row r="59" spans="3:16" x14ac:dyDescent="0.3">
      <c r="C59" s="188"/>
      <c r="D59" s="188"/>
      <c r="E59" s="188"/>
      <c r="F59" s="188"/>
      <c r="G59" s="188"/>
      <c r="H59" s="188"/>
      <c r="I59" s="188"/>
      <c r="J59" s="188"/>
      <c r="K59" s="188"/>
      <c r="L59" s="188"/>
      <c r="M59" s="188"/>
      <c r="P59">
        <v>10.930999999999999</v>
      </c>
    </row>
    <row r="60" spans="3:16" x14ac:dyDescent="0.3">
      <c r="C60" s="188"/>
      <c r="D60" s="188"/>
      <c r="E60" s="188"/>
      <c r="F60" s="188"/>
      <c r="G60" s="188"/>
      <c r="H60" s="188"/>
      <c r="I60" s="188"/>
      <c r="J60" s="188"/>
      <c r="K60" s="188"/>
      <c r="L60" s="188"/>
      <c r="M60" s="188"/>
      <c r="P60" s="53">
        <v>10.24</v>
      </c>
    </row>
    <row r="61" spans="3:16" x14ac:dyDescent="0.3">
      <c r="C61" s="188"/>
      <c r="D61" s="188"/>
      <c r="E61" s="188"/>
      <c r="F61" s="188"/>
      <c r="G61" s="188"/>
      <c r="H61" s="188"/>
      <c r="I61" s="188"/>
      <c r="J61" s="188"/>
      <c r="K61" s="188"/>
      <c r="L61" s="188"/>
      <c r="M61" s="188"/>
      <c r="P61">
        <v>12.663</v>
      </c>
    </row>
    <row r="62" spans="3:16" x14ac:dyDescent="0.3">
      <c r="C62" s="188"/>
      <c r="D62" s="188"/>
      <c r="E62" s="188"/>
      <c r="F62" s="188"/>
      <c r="G62" s="188"/>
      <c r="H62" s="188"/>
      <c r="I62" s="188"/>
      <c r="J62" s="188"/>
      <c r="K62" s="188"/>
      <c r="L62" s="188"/>
      <c r="M62" s="188"/>
    </row>
    <row r="63" spans="3:16" x14ac:dyDescent="0.3">
      <c r="C63" s="188"/>
      <c r="D63" s="188"/>
      <c r="E63" s="188"/>
      <c r="F63" s="188"/>
      <c r="G63" s="188"/>
      <c r="H63" s="188"/>
      <c r="I63" s="188"/>
      <c r="J63" s="188"/>
      <c r="K63" s="188"/>
      <c r="L63" s="188"/>
      <c r="M63" s="188"/>
    </row>
    <row r="64" spans="3:16" x14ac:dyDescent="0.3">
      <c r="C64" s="188"/>
      <c r="D64" s="188"/>
      <c r="E64" s="188"/>
      <c r="F64" s="188"/>
      <c r="G64" s="188"/>
      <c r="H64" s="188"/>
      <c r="I64" s="188"/>
      <c r="J64" s="188"/>
      <c r="K64" s="188"/>
      <c r="L64" s="188"/>
      <c r="M64" s="188"/>
    </row>
    <row r="65" spans="3:13" x14ac:dyDescent="0.3">
      <c r="C65" s="188"/>
      <c r="D65" s="188"/>
      <c r="E65" s="188"/>
      <c r="F65" s="188"/>
      <c r="G65" s="188"/>
      <c r="H65" s="188"/>
      <c r="I65" s="188"/>
      <c r="J65" s="188"/>
      <c r="K65" s="188"/>
      <c r="L65" s="188"/>
      <c r="M65" s="188"/>
    </row>
    <row r="66" spans="3:13" x14ac:dyDescent="0.3">
      <c r="C66" s="188"/>
      <c r="D66" s="188"/>
      <c r="E66" s="188"/>
      <c r="F66" s="188"/>
      <c r="G66" s="188"/>
      <c r="H66" s="188"/>
      <c r="I66" s="188"/>
      <c r="J66" s="188"/>
      <c r="K66" s="188"/>
      <c r="L66" s="188"/>
      <c r="M66" s="188"/>
    </row>
    <row r="67" spans="3:13" x14ac:dyDescent="0.3">
      <c r="C67" s="188"/>
      <c r="D67" s="188"/>
      <c r="E67" s="188"/>
      <c r="F67" s="188"/>
      <c r="G67" s="188"/>
      <c r="H67" s="188"/>
      <c r="I67" s="188"/>
      <c r="J67" s="188"/>
      <c r="K67" s="188"/>
      <c r="L67" s="188"/>
      <c r="M67" s="188"/>
    </row>
    <row r="68" spans="3:13" x14ac:dyDescent="0.3">
      <c r="C68" s="188"/>
      <c r="D68" s="188"/>
      <c r="E68" s="188"/>
      <c r="F68" s="188"/>
      <c r="G68" s="188"/>
      <c r="H68" s="188"/>
      <c r="I68" s="188"/>
      <c r="J68" s="188"/>
      <c r="K68" s="188"/>
      <c r="L68" s="188"/>
      <c r="M68" s="188"/>
    </row>
    <row r="69" spans="3:13" x14ac:dyDescent="0.3">
      <c r="C69" s="188"/>
      <c r="D69" s="188"/>
      <c r="E69" s="188"/>
      <c r="F69" s="188"/>
      <c r="G69" s="188"/>
      <c r="H69" s="188"/>
      <c r="I69" s="188"/>
      <c r="J69" s="188"/>
      <c r="K69" s="188"/>
      <c r="L69" s="188"/>
      <c r="M69" s="188"/>
    </row>
  </sheetData>
  <mergeCells count="1">
    <mergeCell ref="C6:M6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902C-4EFE-4917-91F8-5DEC6FCC66B0}">
  <sheetPr>
    <tabColor theme="9" tint="0.59999389629810485"/>
  </sheetPr>
  <dimension ref="A1:AA58"/>
  <sheetViews>
    <sheetView zoomScale="115" zoomScaleNormal="115" workbookViewId="0"/>
  </sheetViews>
  <sheetFormatPr defaultRowHeight="14.4" x14ac:dyDescent="0.3"/>
  <cols>
    <col min="1" max="2" width="3.88671875" customWidth="1"/>
    <col min="5" max="5" width="17.21875" bestFit="1" customWidth="1"/>
    <col min="11" max="11" width="11.5546875" bestFit="1" customWidth="1"/>
    <col min="15" max="15" width="13.44140625" customWidth="1"/>
    <col min="16" max="16" width="12.109375" customWidth="1"/>
    <col min="23" max="23" width="9.5546875" bestFit="1" customWidth="1"/>
  </cols>
  <sheetData>
    <row r="1" spans="1:27" x14ac:dyDescent="0.3">
      <c r="A1" s="186" t="s">
        <v>222</v>
      </c>
    </row>
    <row r="3" spans="1:27" x14ac:dyDescent="0.3">
      <c r="A3" s="1" t="s">
        <v>1</v>
      </c>
    </row>
    <row r="4" spans="1:27" x14ac:dyDescent="0.3">
      <c r="A4" t="s">
        <v>60</v>
      </c>
    </row>
    <row r="6" spans="1:27" x14ac:dyDescent="0.3">
      <c r="C6" s="4" t="s">
        <v>59</v>
      </c>
      <c r="D6" s="4"/>
      <c r="E6" s="4"/>
      <c r="F6" s="4"/>
      <c r="G6" s="4"/>
    </row>
    <row r="7" spans="1:27" x14ac:dyDescent="0.3">
      <c r="C7" s="30" t="s">
        <v>34</v>
      </c>
      <c r="D7" s="11"/>
      <c r="E7" s="11"/>
      <c r="F7" s="11"/>
      <c r="G7" s="11"/>
      <c r="H7" s="11"/>
      <c r="I7" s="11" t="s">
        <v>32</v>
      </c>
      <c r="J7" s="11"/>
      <c r="K7" s="11"/>
      <c r="L7" s="11"/>
      <c r="M7" s="11"/>
      <c r="N7" s="11"/>
      <c r="O7" s="11" t="s">
        <v>27</v>
      </c>
      <c r="P7" s="11"/>
      <c r="Q7" s="11"/>
      <c r="R7" s="11"/>
      <c r="S7" s="11"/>
      <c r="T7" s="11"/>
      <c r="U7" s="11"/>
      <c r="V7" s="11"/>
      <c r="W7" s="11" t="s">
        <v>25</v>
      </c>
      <c r="X7" s="11"/>
      <c r="Y7" s="11"/>
      <c r="Z7" s="11"/>
      <c r="AA7" s="12"/>
    </row>
    <row r="8" spans="1:27" x14ac:dyDescent="0.3">
      <c r="C8" s="13" t="s">
        <v>58</v>
      </c>
      <c r="I8" t="s">
        <v>57</v>
      </c>
      <c r="O8" t="s">
        <v>56</v>
      </c>
      <c r="W8" t="s">
        <v>55</v>
      </c>
      <c r="AA8" s="14"/>
    </row>
    <row r="9" spans="1:27" x14ac:dyDescent="0.3">
      <c r="C9" s="13"/>
      <c r="D9" t="s">
        <v>21</v>
      </c>
      <c r="E9" t="s">
        <v>20</v>
      </c>
      <c r="J9" t="s">
        <v>21</v>
      </c>
      <c r="K9" t="s">
        <v>20</v>
      </c>
      <c r="AA9" s="14"/>
    </row>
    <row r="10" spans="1:27" x14ac:dyDescent="0.3">
      <c r="C10" s="13"/>
      <c r="D10">
        <v>60</v>
      </c>
      <c r="E10" s="17">
        <v>80000</v>
      </c>
      <c r="J10">
        <v>62</v>
      </c>
      <c r="K10" s="17">
        <v>85000</v>
      </c>
      <c r="P10">
        <v>0.99260000000000004</v>
      </c>
      <c r="W10" s="46">
        <f>MAX(K18,O22)</f>
        <v>37997.005935505033</v>
      </c>
      <c r="X10" t="s">
        <v>54</v>
      </c>
      <c r="AA10" s="14"/>
    </row>
    <row r="11" spans="1:27" x14ac:dyDescent="0.3">
      <c r="C11" s="13"/>
      <c r="D11">
        <v>61</v>
      </c>
      <c r="E11" s="17">
        <v>83000</v>
      </c>
      <c r="J11">
        <v>63</v>
      </c>
      <c r="K11" s="17">
        <v>89000</v>
      </c>
      <c r="P11">
        <v>0.99170000000000003</v>
      </c>
      <c r="AA11" s="14"/>
    </row>
    <row r="12" spans="1:27" ht="17.25" customHeight="1" x14ac:dyDescent="0.3">
      <c r="C12" s="13"/>
      <c r="D12">
        <v>62</v>
      </c>
      <c r="E12" s="17">
        <v>85000</v>
      </c>
      <c r="J12">
        <v>64</v>
      </c>
      <c r="K12" s="17">
        <v>93000</v>
      </c>
      <c r="P12">
        <v>12.534000000000001</v>
      </c>
      <c r="W12" s="46">
        <f>W10/12</f>
        <v>3166.4171612920859</v>
      </c>
      <c r="X12" t="s">
        <v>53</v>
      </c>
      <c r="AA12" s="14"/>
    </row>
    <row r="13" spans="1:27" x14ac:dyDescent="0.3">
      <c r="C13" s="13"/>
      <c r="D13">
        <v>63</v>
      </c>
      <c r="E13" s="17">
        <v>89000</v>
      </c>
      <c r="J13">
        <v>65</v>
      </c>
      <c r="K13" s="17">
        <v>95000</v>
      </c>
      <c r="P13">
        <v>11.914999999999999</v>
      </c>
      <c r="AA13" s="14"/>
    </row>
    <row r="14" spans="1:27" x14ac:dyDescent="0.3">
      <c r="C14" s="13"/>
      <c r="D14">
        <v>64</v>
      </c>
      <c r="E14" s="17">
        <v>93000</v>
      </c>
      <c r="J14">
        <v>66</v>
      </c>
      <c r="K14" s="17">
        <v>100000</v>
      </c>
      <c r="O14" t="s">
        <v>40</v>
      </c>
      <c r="P14">
        <v>0.05</v>
      </c>
      <c r="AA14" s="14"/>
    </row>
    <row r="15" spans="1:27" x14ac:dyDescent="0.3">
      <c r="C15" s="13"/>
      <c r="AA15" s="14"/>
    </row>
    <row r="16" spans="1:27" x14ac:dyDescent="0.3">
      <c r="C16" s="13"/>
      <c r="D16" t="s">
        <v>2</v>
      </c>
      <c r="E16" s="17">
        <v>25</v>
      </c>
      <c r="J16" t="s">
        <v>2</v>
      </c>
      <c r="K16" s="17">
        <v>27</v>
      </c>
      <c r="O16" t="s">
        <v>35</v>
      </c>
      <c r="AA16" s="14"/>
    </row>
    <row r="17" spans="3:27" x14ac:dyDescent="0.3">
      <c r="C17" s="13"/>
      <c r="AA17" s="14"/>
    </row>
    <row r="18" spans="3:27" x14ac:dyDescent="0.3">
      <c r="C18" s="13"/>
      <c r="D18" t="s">
        <v>52</v>
      </c>
      <c r="E18" s="17">
        <f>SUM(E10:E14)/5*0.015*E16</f>
        <v>32250</v>
      </c>
      <c r="J18" t="s">
        <v>52</v>
      </c>
      <c r="K18" s="17">
        <f>SUM(K10:K14)/5*0.015*K16</f>
        <v>37422</v>
      </c>
      <c r="O18" s="59">
        <f>E18*P12</f>
        <v>404221.5</v>
      </c>
      <c r="P18" t="s">
        <v>51</v>
      </c>
      <c r="AA18" s="14"/>
    </row>
    <row r="19" spans="3:27" x14ac:dyDescent="0.3">
      <c r="C19" s="13"/>
      <c r="AA19" s="14"/>
    </row>
    <row r="20" spans="3:27" x14ac:dyDescent="0.3">
      <c r="C20" s="13"/>
      <c r="O20">
        <f>P10*P11*((1+P14)^-2)*P13</f>
        <v>10.638246094603174</v>
      </c>
      <c r="P20" t="s">
        <v>50</v>
      </c>
      <c r="AA20" s="14"/>
    </row>
    <row r="21" spans="3:27" x14ac:dyDescent="0.3">
      <c r="C21" s="13"/>
      <c r="AA21" s="14"/>
    </row>
    <row r="22" spans="3:27" x14ac:dyDescent="0.3">
      <c r="C22" s="22"/>
      <c r="D22" s="23"/>
      <c r="E22" s="23"/>
      <c r="F22" s="23"/>
      <c r="G22" s="23"/>
      <c r="H22" s="23"/>
      <c r="I22" s="23"/>
      <c r="J22" s="23"/>
      <c r="K22" s="23"/>
      <c r="L22" s="23"/>
      <c r="M22" s="23"/>
      <c r="N22" s="23"/>
      <c r="O22" s="24">
        <f>O18/O20</f>
        <v>37997.005935505033</v>
      </c>
      <c r="P22" s="23" t="s">
        <v>49</v>
      </c>
      <c r="Q22" s="23"/>
      <c r="R22" s="23"/>
      <c r="S22" s="23"/>
      <c r="T22" s="23"/>
      <c r="U22" s="23"/>
      <c r="V22" s="23"/>
      <c r="W22" s="23"/>
      <c r="X22" s="23"/>
      <c r="Y22" s="23"/>
      <c r="Z22" s="23"/>
      <c r="AA22" s="29"/>
    </row>
    <row r="25" spans="3:27" x14ac:dyDescent="0.3">
      <c r="C25" s="4" t="s">
        <v>48</v>
      </c>
    </row>
    <row r="26" spans="3:27" x14ac:dyDescent="0.3">
      <c r="C26" s="30" t="s">
        <v>35</v>
      </c>
      <c r="D26" s="11"/>
      <c r="E26" s="11"/>
      <c r="F26" s="11"/>
      <c r="G26" s="11"/>
      <c r="H26" s="11"/>
      <c r="I26" s="11"/>
      <c r="J26" s="11"/>
      <c r="K26" s="11"/>
      <c r="L26" s="11"/>
      <c r="M26" s="12"/>
      <c r="Q26">
        <v>0.99260000000000004</v>
      </c>
    </row>
    <row r="27" spans="3:27" x14ac:dyDescent="0.3">
      <c r="C27" s="13" t="s">
        <v>47</v>
      </c>
      <c r="M27" s="14"/>
      <c r="Q27">
        <v>0.99170000000000003</v>
      </c>
    </row>
    <row r="28" spans="3:27" x14ac:dyDescent="0.3">
      <c r="C28" s="13"/>
      <c r="M28" s="14"/>
      <c r="Q28">
        <v>0.99080000000000001</v>
      </c>
    </row>
    <row r="29" spans="3:27" x14ac:dyDescent="0.3">
      <c r="C29" s="13"/>
      <c r="D29" t="s">
        <v>34</v>
      </c>
      <c r="E29" s="59">
        <f>W10*Q34</f>
        <v>452734.32572154241</v>
      </c>
      <c r="F29" t="s">
        <v>33</v>
      </c>
      <c r="M29" s="14"/>
      <c r="Q29">
        <v>0.98980000000000001</v>
      </c>
    </row>
    <row r="30" spans="3:27" x14ac:dyDescent="0.3">
      <c r="C30" s="13"/>
      <c r="M30" s="14"/>
      <c r="Q30">
        <v>0.98870000000000002</v>
      </c>
    </row>
    <row r="31" spans="3:27" x14ac:dyDescent="0.3">
      <c r="C31" s="13"/>
      <c r="D31" t="s">
        <v>32</v>
      </c>
      <c r="M31" s="14"/>
      <c r="Q31">
        <v>0.98750000000000004</v>
      </c>
    </row>
    <row r="32" spans="3:27" x14ac:dyDescent="0.3">
      <c r="C32" s="13"/>
      <c r="D32" t="s">
        <v>46</v>
      </c>
      <c r="E32" s="61">
        <f>-PV((1+Q39)^(1/12)-1,60,1,,1)</f>
        <v>53.35031193643136</v>
      </c>
      <c r="F32" t="s">
        <v>45</v>
      </c>
      <c r="M32" s="14"/>
      <c r="Q32" s="54">
        <v>0.98599999999999999</v>
      </c>
    </row>
    <row r="33" spans="3:17" x14ac:dyDescent="0.3">
      <c r="C33" s="13"/>
      <c r="M33" s="14"/>
    </row>
    <row r="34" spans="3:17" x14ac:dyDescent="0.3">
      <c r="C34" s="13"/>
      <c r="E34" s="60">
        <f>PRODUCT(Q28:Q32)*PRODUCT(Q26:Q30)*((1+Q39)^-5)*Q37*12</f>
        <v>107.28423876052238</v>
      </c>
      <c r="F34" t="s">
        <v>44</v>
      </c>
      <c r="M34" s="14"/>
      <c r="Q34">
        <v>11.914999999999999</v>
      </c>
    </row>
    <row r="35" spans="3:17" x14ac:dyDescent="0.3">
      <c r="C35" s="13"/>
      <c r="F35" t="s">
        <v>43</v>
      </c>
      <c r="M35" s="14"/>
      <c r="Q35">
        <v>10.930999999999999</v>
      </c>
    </row>
    <row r="36" spans="3:17" x14ac:dyDescent="0.3">
      <c r="C36" s="13"/>
      <c r="M36" s="14"/>
      <c r="Q36" s="53">
        <v>10.24</v>
      </c>
    </row>
    <row r="37" spans="3:17" x14ac:dyDescent="0.3">
      <c r="C37" s="13"/>
      <c r="E37" s="60">
        <f>PRODUCT(Q28:Q32)*(1-PRODUCT(Q26:Q30))*(1+Q39)^-5*Q36*12</f>
        <v>4.1404544428904586</v>
      </c>
      <c r="F37" t="s">
        <v>42</v>
      </c>
      <c r="M37" s="14"/>
      <c r="Q37">
        <v>12.663</v>
      </c>
    </row>
    <row r="38" spans="3:17" x14ac:dyDescent="0.3">
      <c r="C38" s="13"/>
      <c r="F38" t="s">
        <v>41</v>
      </c>
      <c r="M38" s="14"/>
    </row>
    <row r="39" spans="3:17" x14ac:dyDescent="0.3">
      <c r="C39" s="13"/>
      <c r="M39" s="14"/>
      <c r="P39" t="s">
        <v>40</v>
      </c>
      <c r="Q39">
        <v>0.05</v>
      </c>
    </row>
    <row r="40" spans="3:17" x14ac:dyDescent="0.3">
      <c r="C40" s="13"/>
      <c r="F40" t="s">
        <v>39</v>
      </c>
      <c r="M40" s="14"/>
    </row>
    <row r="41" spans="3:17" x14ac:dyDescent="0.3">
      <c r="C41" s="13"/>
      <c r="E41" s="60">
        <f>(1-PRODUCT(Q28:Q32))*PRODUCT(Q26:Q30)*(1+Q39)^-5*Q35*12</f>
        <v>5.4847935768539067</v>
      </c>
      <c r="F41" t="s">
        <v>38</v>
      </c>
      <c r="M41" s="14"/>
    </row>
    <row r="42" spans="3:17" x14ac:dyDescent="0.3">
      <c r="C42" s="13"/>
      <c r="M42" s="14"/>
    </row>
    <row r="43" spans="3:17" x14ac:dyDescent="0.3">
      <c r="C43" s="22"/>
      <c r="D43" s="23" t="s">
        <v>27</v>
      </c>
      <c r="E43" s="62">
        <f>E29/SUM(E32:E41)</f>
        <v>2659.0794135429737</v>
      </c>
      <c r="F43" s="23" t="s">
        <v>37</v>
      </c>
      <c r="G43" s="23"/>
      <c r="H43" s="23"/>
      <c r="I43" s="23"/>
      <c r="J43" s="23"/>
      <c r="K43" s="23"/>
      <c r="L43" s="23"/>
      <c r="M43" s="29"/>
    </row>
    <row r="46" spans="3:17" x14ac:dyDescent="0.3">
      <c r="C46" s="4" t="s">
        <v>36</v>
      </c>
    </row>
    <row r="47" spans="3:17" x14ac:dyDescent="0.3">
      <c r="C47" s="30" t="s">
        <v>35</v>
      </c>
      <c r="D47" s="11"/>
      <c r="E47" s="11"/>
      <c r="F47" s="11"/>
      <c r="G47" s="11"/>
      <c r="H47" s="11"/>
      <c r="I47" s="11"/>
      <c r="J47" s="11"/>
      <c r="K47" s="11"/>
      <c r="L47" s="11"/>
      <c r="M47" s="11"/>
      <c r="N47" s="12"/>
    </row>
    <row r="48" spans="3:17" x14ac:dyDescent="0.3">
      <c r="C48" s="13"/>
      <c r="N48" s="14"/>
    </row>
    <row r="49" spans="3:14" x14ac:dyDescent="0.3">
      <c r="C49" s="13"/>
      <c r="D49" t="s">
        <v>34</v>
      </c>
      <c r="E49" s="59">
        <f>W10*Q34</f>
        <v>452734.32572154241</v>
      </c>
      <c r="F49" t="s">
        <v>33</v>
      </c>
      <c r="N49" s="14"/>
    </row>
    <row r="50" spans="3:14" x14ac:dyDescent="0.3">
      <c r="C50" s="13"/>
      <c r="N50" s="14"/>
    </row>
    <row r="51" spans="3:14" x14ac:dyDescent="0.3">
      <c r="C51" s="13"/>
      <c r="D51" t="s">
        <v>32</v>
      </c>
      <c r="E51" s="61">
        <f>(Q34-PRODUCT(Q28:Q30)*(1+Q39)^-3*Q35)*1500*12</f>
        <v>49667.997780912767</v>
      </c>
      <c r="F51" t="s">
        <v>31</v>
      </c>
      <c r="K51" s="5" t="s">
        <v>30</v>
      </c>
      <c r="N51" s="14"/>
    </row>
    <row r="52" spans="3:14" x14ac:dyDescent="0.3">
      <c r="C52" s="13"/>
      <c r="N52" s="14"/>
    </row>
    <row r="53" spans="3:14" x14ac:dyDescent="0.3">
      <c r="C53" s="13"/>
      <c r="E53" s="60">
        <f>Q34*12</f>
        <v>142.97999999999999</v>
      </c>
      <c r="F53" t="s">
        <v>29</v>
      </c>
      <c r="J53" t="s">
        <v>28</v>
      </c>
      <c r="N53" s="14"/>
    </row>
    <row r="54" spans="3:14" x14ac:dyDescent="0.3">
      <c r="C54" s="13"/>
      <c r="N54" s="14"/>
    </row>
    <row r="55" spans="3:14" x14ac:dyDescent="0.3">
      <c r="C55" s="13"/>
      <c r="D55" t="s">
        <v>27</v>
      </c>
      <c r="E55" s="59">
        <f>(E49-E51)/E53</f>
        <v>2819.0399212521306</v>
      </c>
      <c r="F55" t="s">
        <v>26</v>
      </c>
      <c r="N55" s="14"/>
    </row>
    <row r="56" spans="3:14" x14ac:dyDescent="0.3">
      <c r="C56" s="13"/>
      <c r="N56" s="14"/>
    </row>
    <row r="57" spans="3:14" x14ac:dyDescent="0.3">
      <c r="C57" s="13"/>
      <c r="D57" t="s">
        <v>25</v>
      </c>
      <c r="E57" s="58">
        <f>E55+1500</f>
        <v>4319.0399212521306</v>
      </c>
      <c r="F57" t="s">
        <v>24</v>
      </c>
      <c r="N57" s="14"/>
    </row>
    <row r="58" spans="3:14" x14ac:dyDescent="0.3">
      <c r="C58" s="22"/>
      <c r="D58" s="23"/>
      <c r="E58" s="57">
        <f>E55</f>
        <v>2819.0399212521306</v>
      </c>
      <c r="F58" s="23" t="s">
        <v>23</v>
      </c>
      <c r="G58" s="23"/>
      <c r="H58" s="23"/>
      <c r="I58" s="23"/>
      <c r="J58" s="23"/>
      <c r="K58" s="23"/>
      <c r="L58" s="23"/>
      <c r="M58" s="23"/>
      <c r="N58" s="2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4E-5316-48BF-9878-B5DA5E068752}">
  <sheetPr>
    <tabColor theme="5" tint="0.39997558519241921"/>
  </sheetPr>
  <dimension ref="A1:V73"/>
  <sheetViews>
    <sheetView zoomScale="115" zoomScaleNormal="115" workbookViewId="0"/>
  </sheetViews>
  <sheetFormatPr defaultRowHeight="14.4" x14ac:dyDescent="0.3"/>
  <cols>
    <col min="13" max="13" width="18.6640625" customWidth="1"/>
    <col min="16" max="16" width="13.6640625" customWidth="1"/>
    <col min="17" max="17" width="14.88671875" customWidth="1"/>
    <col min="18" max="18" width="17.5546875" customWidth="1"/>
    <col min="19" max="19" width="12.6640625" customWidth="1"/>
    <col min="20" max="20" width="15.33203125" customWidth="1"/>
    <col min="21" max="21" width="16.33203125" customWidth="1"/>
  </cols>
  <sheetData>
    <row r="1" spans="1:22" x14ac:dyDescent="0.3">
      <c r="A1" s="186" t="s">
        <v>222</v>
      </c>
    </row>
    <row r="3" spans="1:22" x14ac:dyDescent="0.3">
      <c r="A3" s="187" t="s">
        <v>1</v>
      </c>
    </row>
    <row r="4" spans="1:22" x14ac:dyDescent="0.3">
      <c r="A4" s="186" t="s">
        <v>209</v>
      </c>
    </row>
    <row r="5" spans="1:22" x14ac:dyDescent="0.3">
      <c r="B5" s="4"/>
      <c r="U5" s="52"/>
      <c r="V5" s="52"/>
    </row>
    <row r="6" spans="1:22" ht="43.2" x14ac:dyDescent="0.3">
      <c r="B6" s="188" t="s">
        <v>206</v>
      </c>
      <c r="C6" s="188"/>
      <c r="D6" s="188"/>
      <c r="E6" s="188"/>
      <c r="F6" s="188"/>
      <c r="G6" s="188"/>
      <c r="H6" s="188"/>
      <c r="I6" s="188"/>
      <c r="J6" s="188"/>
      <c r="K6" s="188"/>
      <c r="L6" s="188"/>
      <c r="M6" s="188"/>
      <c r="P6" s="52" t="s">
        <v>3</v>
      </c>
      <c r="Q6" s="52" t="s">
        <v>66</v>
      </c>
      <c r="R6" s="52" t="s">
        <v>65</v>
      </c>
      <c r="V6" s="52"/>
    </row>
    <row r="7" spans="1:22" x14ac:dyDescent="0.3">
      <c r="B7" s="188"/>
      <c r="C7" s="188"/>
      <c r="D7" s="188"/>
      <c r="E7" s="188"/>
      <c r="F7" s="188"/>
      <c r="G7" s="188"/>
      <c r="H7" s="188"/>
      <c r="I7" s="188"/>
      <c r="J7" s="188"/>
      <c r="K7" s="188"/>
      <c r="L7" s="188"/>
      <c r="M7" s="188"/>
      <c r="P7">
        <v>55</v>
      </c>
      <c r="Q7" s="8">
        <v>0.02</v>
      </c>
      <c r="R7" s="8">
        <v>0.01</v>
      </c>
    </row>
    <row r="8" spans="1:22" x14ac:dyDescent="0.3">
      <c r="B8" s="188"/>
      <c r="C8" s="188"/>
      <c r="D8" s="188"/>
      <c r="E8" s="188"/>
      <c r="F8" s="188"/>
      <c r="G8" s="188"/>
      <c r="H8" s="188"/>
      <c r="I8" s="188"/>
      <c r="J8" s="188"/>
      <c r="K8" s="188"/>
      <c r="L8" s="188"/>
      <c r="M8" s="188"/>
      <c r="P8">
        <v>56</v>
      </c>
      <c r="Q8" s="8">
        <v>0.02</v>
      </c>
      <c r="R8" s="8">
        <v>0.01</v>
      </c>
    </row>
    <row r="9" spans="1:22" x14ac:dyDescent="0.3">
      <c r="B9" s="188"/>
      <c r="C9" s="188"/>
      <c r="D9" s="188"/>
      <c r="E9" s="188"/>
      <c r="F9" s="188"/>
      <c r="G9" s="188"/>
      <c r="H9" s="188"/>
      <c r="I9" s="188"/>
      <c r="J9" s="188"/>
      <c r="K9" s="188"/>
      <c r="L9" s="188"/>
      <c r="M9" s="188"/>
      <c r="P9">
        <v>57</v>
      </c>
      <c r="Q9" s="8">
        <v>0.02</v>
      </c>
      <c r="R9" s="8">
        <v>0.01</v>
      </c>
    </row>
    <row r="10" spans="1:22" x14ac:dyDescent="0.3">
      <c r="B10" s="188"/>
      <c r="C10" s="188"/>
      <c r="D10" s="188"/>
      <c r="E10" s="188"/>
      <c r="F10" s="188"/>
      <c r="G10" s="188"/>
      <c r="H10" s="188"/>
      <c r="I10" s="188"/>
      <c r="J10" s="188"/>
      <c r="K10" s="188"/>
      <c r="L10" s="188"/>
      <c r="M10" s="188"/>
      <c r="P10">
        <v>58</v>
      </c>
      <c r="Q10" s="8">
        <v>0.02</v>
      </c>
      <c r="R10" s="8">
        <v>0.02</v>
      </c>
    </row>
    <row r="11" spans="1:22" x14ac:dyDescent="0.3">
      <c r="B11" s="188"/>
      <c r="C11" s="188"/>
      <c r="D11" s="188"/>
      <c r="E11" s="188"/>
      <c r="F11" s="188"/>
      <c r="G11" s="188"/>
      <c r="H11" s="188"/>
      <c r="I11" s="188"/>
      <c r="J11" s="188"/>
      <c r="K11" s="188"/>
      <c r="L11" s="188"/>
      <c r="M11" s="188"/>
      <c r="P11">
        <v>59</v>
      </c>
      <c r="Q11" s="8">
        <v>0.02</v>
      </c>
      <c r="R11" s="8">
        <v>0.05</v>
      </c>
    </row>
    <row r="12" spans="1:22" x14ac:dyDescent="0.3">
      <c r="B12" s="188"/>
      <c r="C12" s="188"/>
      <c r="D12" s="188"/>
      <c r="E12" s="188"/>
      <c r="F12" s="188"/>
      <c r="G12" s="188"/>
      <c r="H12" s="188"/>
      <c r="I12" s="188"/>
      <c r="J12" s="188"/>
      <c r="K12" s="188"/>
      <c r="L12" s="188"/>
      <c r="M12" s="188"/>
      <c r="P12">
        <v>60</v>
      </c>
      <c r="Q12" s="8">
        <v>0.05</v>
      </c>
      <c r="R12" s="8">
        <v>0.05</v>
      </c>
    </row>
    <row r="13" spans="1:22" x14ac:dyDescent="0.3">
      <c r="B13" s="188"/>
      <c r="C13" s="188"/>
      <c r="D13" s="188"/>
      <c r="E13" s="188"/>
      <c r="F13" s="188"/>
      <c r="G13" s="188"/>
      <c r="H13" s="188"/>
      <c r="I13" s="188"/>
      <c r="J13" s="188"/>
      <c r="K13" s="188"/>
      <c r="L13" s="188"/>
      <c r="M13" s="188"/>
      <c r="P13">
        <v>61</v>
      </c>
      <c r="Q13" s="8">
        <v>0.05</v>
      </c>
      <c r="R13" s="8">
        <v>2.5000000000000001E-2</v>
      </c>
    </row>
    <row r="14" spans="1:22" x14ac:dyDescent="0.3">
      <c r="B14" s="188"/>
      <c r="C14" s="188"/>
      <c r="D14" s="188"/>
      <c r="E14" s="188"/>
      <c r="F14" s="188"/>
      <c r="G14" s="188"/>
      <c r="H14" s="188"/>
      <c r="I14" s="188"/>
      <c r="J14" s="188"/>
      <c r="K14" s="188"/>
      <c r="L14" s="188"/>
      <c r="M14" s="188"/>
      <c r="P14">
        <v>62</v>
      </c>
      <c r="Q14" s="8">
        <v>0.1</v>
      </c>
      <c r="R14" s="8">
        <v>0.1</v>
      </c>
    </row>
    <row r="15" spans="1:22" x14ac:dyDescent="0.3">
      <c r="B15" s="188"/>
      <c r="C15" s="188"/>
      <c r="D15" s="188"/>
      <c r="E15" s="188"/>
      <c r="F15" s="188"/>
      <c r="G15" s="188"/>
      <c r="H15" s="188"/>
      <c r="I15" s="188"/>
      <c r="J15" s="188"/>
      <c r="K15" s="188"/>
      <c r="L15" s="188"/>
      <c r="M15" s="188"/>
      <c r="P15">
        <v>63</v>
      </c>
      <c r="Q15" s="8">
        <v>0.05</v>
      </c>
      <c r="R15" s="8">
        <v>0.05</v>
      </c>
    </row>
    <row r="16" spans="1:22" x14ac:dyDescent="0.3">
      <c r="B16" s="188"/>
      <c r="C16" s="188"/>
      <c r="D16" s="188"/>
      <c r="E16" s="188"/>
      <c r="F16" s="188"/>
      <c r="G16" s="188"/>
      <c r="H16" s="188"/>
      <c r="I16" s="188"/>
      <c r="J16" s="188"/>
      <c r="K16" s="188"/>
      <c r="L16" s="188"/>
      <c r="M16" s="188"/>
      <c r="P16">
        <v>64</v>
      </c>
      <c r="Q16" s="8">
        <v>0.05</v>
      </c>
      <c r="R16" s="8">
        <v>0.05</v>
      </c>
    </row>
    <row r="17" spans="2:18" x14ac:dyDescent="0.3">
      <c r="B17" s="188"/>
      <c r="C17" s="188"/>
      <c r="D17" s="188"/>
      <c r="E17" s="188"/>
      <c r="F17" s="188"/>
      <c r="G17" s="188"/>
      <c r="H17" s="188"/>
      <c r="I17" s="188"/>
      <c r="J17" s="188"/>
      <c r="K17" s="188"/>
      <c r="L17" s="188"/>
      <c r="M17" s="188"/>
      <c r="P17">
        <v>65</v>
      </c>
      <c r="Q17" s="8">
        <v>1</v>
      </c>
      <c r="R17" s="8">
        <v>0.5</v>
      </c>
    </row>
    <row r="18" spans="2:18" x14ac:dyDescent="0.3">
      <c r="B18" s="188"/>
      <c r="C18" s="188"/>
      <c r="D18" s="188"/>
      <c r="E18" s="188"/>
      <c r="F18" s="188"/>
      <c r="G18" s="188"/>
      <c r="H18" s="188"/>
      <c r="I18" s="188"/>
      <c r="J18" s="188"/>
      <c r="K18" s="188"/>
      <c r="L18" s="188"/>
      <c r="M18" s="188"/>
      <c r="P18">
        <v>66</v>
      </c>
      <c r="Q18" s="8"/>
      <c r="R18" s="8">
        <v>0.25</v>
      </c>
    </row>
    <row r="19" spans="2:18" x14ac:dyDescent="0.3">
      <c r="B19" s="188"/>
      <c r="C19" s="188"/>
      <c r="D19" s="188"/>
      <c r="E19" s="188"/>
      <c r="F19" s="188"/>
      <c r="G19" s="188"/>
      <c r="H19" s="188"/>
      <c r="I19" s="188"/>
      <c r="J19" s="188"/>
      <c r="K19" s="188"/>
      <c r="L19" s="188"/>
      <c r="M19" s="188"/>
      <c r="P19">
        <v>67</v>
      </c>
      <c r="Q19" s="8"/>
      <c r="R19" s="8">
        <v>0.25</v>
      </c>
    </row>
    <row r="20" spans="2:18" x14ac:dyDescent="0.3">
      <c r="B20" s="188"/>
      <c r="C20" s="188"/>
      <c r="D20" s="188"/>
      <c r="E20" s="188"/>
      <c r="F20" s="188"/>
      <c r="G20" s="188"/>
      <c r="H20" s="188"/>
      <c r="I20" s="188"/>
      <c r="J20" s="188"/>
      <c r="K20" s="188"/>
      <c r="L20" s="188"/>
      <c r="M20" s="188"/>
      <c r="P20">
        <v>68</v>
      </c>
      <c r="Q20" s="8"/>
      <c r="R20" s="8">
        <v>0.25</v>
      </c>
    </row>
    <row r="21" spans="2:18" x14ac:dyDescent="0.3">
      <c r="B21" s="188"/>
      <c r="C21" s="188"/>
      <c r="D21" s="188"/>
      <c r="E21" s="188"/>
      <c r="F21" s="188"/>
      <c r="G21" s="188"/>
      <c r="H21" s="188"/>
      <c r="I21" s="188"/>
      <c r="J21" s="188"/>
      <c r="K21" s="188"/>
      <c r="L21" s="188"/>
      <c r="M21" s="188"/>
      <c r="P21">
        <v>69</v>
      </c>
      <c r="Q21" s="8"/>
      <c r="R21" s="8">
        <v>0.25</v>
      </c>
    </row>
    <row r="22" spans="2:18" x14ac:dyDescent="0.3">
      <c r="B22" s="188"/>
      <c r="C22" s="188"/>
      <c r="D22" s="188"/>
      <c r="E22" s="188"/>
      <c r="F22" s="188"/>
      <c r="G22" s="188"/>
      <c r="H22" s="188"/>
      <c r="I22" s="188"/>
      <c r="J22" s="188"/>
      <c r="K22" s="188"/>
      <c r="L22" s="188"/>
      <c r="M22" s="188"/>
      <c r="P22">
        <v>70</v>
      </c>
      <c r="Q22" s="8"/>
      <c r="R22" s="8">
        <v>1</v>
      </c>
    </row>
    <row r="23" spans="2:18" x14ac:dyDescent="0.3">
      <c r="B23" s="188"/>
      <c r="C23" s="188"/>
      <c r="D23" s="188"/>
      <c r="E23" s="188"/>
      <c r="F23" s="188"/>
      <c r="G23" s="188"/>
      <c r="H23" s="188"/>
      <c r="I23" s="188"/>
      <c r="J23" s="188"/>
      <c r="K23" s="188"/>
      <c r="L23" s="188"/>
      <c r="M23" s="188"/>
    </row>
    <row r="24" spans="2:18" x14ac:dyDescent="0.3">
      <c r="B24" s="188"/>
      <c r="C24" s="188"/>
      <c r="D24" s="188"/>
      <c r="E24" s="188"/>
      <c r="F24" s="188"/>
      <c r="G24" s="188"/>
      <c r="H24" s="188"/>
      <c r="I24" s="188"/>
      <c r="J24" s="188"/>
      <c r="K24" s="188"/>
      <c r="L24" s="188"/>
      <c r="M24" s="188"/>
    </row>
    <row r="25" spans="2:18" x14ac:dyDescent="0.3">
      <c r="B25" s="188"/>
      <c r="C25" s="188"/>
      <c r="D25" s="188"/>
      <c r="E25" s="188"/>
      <c r="F25" s="188"/>
      <c r="G25" s="188"/>
      <c r="H25" s="188"/>
      <c r="I25" s="188"/>
      <c r="J25" s="188"/>
      <c r="K25" s="188"/>
      <c r="L25" s="188"/>
      <c r="M25" s="188"/>
      <c r="P25" s="65" t="s">
        <v>64</v>
      </c>
    </row>
    <row r="26" spans="2:18" x14ac:dyDescent="0.3">
      <c r="B26" s="188"/>
      <c r="C26" s="188"/>
      <c r="D26" s="188"/>
      <c r="E26" s="188"/>
      <c r="F26" s="188"/>
      <c r="G26" s="188"/>
      <c r="H26" s="188"/>
      <c r="I26" s="188"/>
      <c r="J26" s="188"/>
      <c r="K26" s="188"/>
      <c r="L26" s="188"/>
      <c r="M26" s="188"/>
      <c r="P26" s="64" t="s">
        <v>63</v>
      </c>
    </row>
    <row r="27" spans="2:18" x14ac:dyDescent="0.3">
      <c r="B27" s="188"/>
      <c r="C27" s="188"/>
      <c r="D27" s="188"/>
      <c r="E27" s="188"/>
      <c r="F27" s="188"/>
      <c r="G27" s="188"/>
      <c r="H27" s="188"/>
      <c r="I27" s="188"/>
      <c r="J27" s="188"/>
      <c r="K27" s="188"/>
      <c r="L27" s="188"/>
      <c r="M27" s="188"/>
      <c r="P27" s="64" t="s">
        <v>62</v>
      </c>
    </row>
    <row r="28" spans="2:18" x14ac:dyDescent="0.3">
      <c r="B28" s="188"/>
      <c r="C28" s="188"/>
      <c r="D28" s="188"/>
      <c r="E28" s="188"/>
      <c r="F28" s="188"/>
      <c r="G28" s="188"/>
      <c r="H28" s="188"/>
      <c r="I28" s="188"/>
      <c r="J28" s="188"/>
      <c r="K28" s="188"/>
      <c r="L28" s="188"/>
      <c r="M28" s="188"/>
    </row>
    <row r="29" spans="2:18" x14ac:dyDescent="0.3">
      <c r="B29" s="188"/>
      <c r="C29" s="188"/>
      <c r="D29" s="188"/>
      <c r="E29" s="188"/>
      <c r="F29" s="188"/>
      <c r="G29" s="188"/>
      <c r="H29" s="188"/>
      <c r="I29" s="188"/>
      <c r="J29" s="188"/>
      <c r="K29" s="188"/>
      <c r="L29" s="188"/>
      <c r="M29" s="188"/>
    </row>
    <row r="30" spans="2:18" x14ac:dyDescent="0.3">
      <c r="B30" s="188"/>
      <c r="C30" s="188"/>
      <c r="D30" s="188"/>
      <c r="E30" s="188"/>
      <c r="F30" s="188"/>
      <c r="G30" s="188"/>
      <c r="H30" s="188"/>
      <c r="I30" s="188"/>
      <c r="J30" s="188"/>
      <c r="K30" s="188"/>
      <c r="L30" s="188"/>
      <c r="M30" s="188"/>
    </row>
    <row r="31" spans="2:18" x14ac:dyDescent="0.3">
      <c r="B31" s="188"/>
      <c r="C31" s="188"/>
      <c r="D31" s="188"/>
      <c r="E31" s="188"/>
      <c r="F31" s="188"/>
      <c r="G31" s="188"/>
      <c r="H31" s="188"/>
      <c r="I31" s="188"/>
      <c r="J31" s="188"/>
      <c r="K31" s="188"/>
      <c r="L31" s="188"/>
      <c r="M31" s="188"/>
    </row>
    <row r="32" spans="2:18" x14ac:dyDescent="0.3">
      <c r="B32" s="189"/>
      <c r="C32" s="189"/>
      <c r="D32" s="189"/>
      <c r="E32" s="189"/>
      <c r="F32" s="189"/>
      <c r="G32" s="189"/>
      <c r="H32" s="189"/>
      <c r="I32" s="189"/>
      <c r="J32" s="189"/>
      <c r="K32" s="189"/>
      <c r="L32" s="189"/>
      <c r="M32" s="189"/>
    </row>
    <row r="33" spans="2:13" x14ac:dyDescent="0.3">
      <c r="B33" s="189"/>
      <c r="C33" s="189"/>
      <c r="D33" s="189"/>
      <c r="E33" s="189"/>
      <c r="F33" s="189"/>
      <c r="G33" s="189"/>
      <c r="H33" s="189"/>
      <c r="I33" s="189"/>
      <c r="J33" s="189"/>
      <c r="K33" s="189"/>
      <c r="L33" s="189"/>
      <c r="M33" s="189"/>
    </row>
    <row r="34" spans="2:13" x14ac:dyDescent="0.3">
      <c r="B34" s="189"/>
      <c r="C34" s="189"/>
      <c r="D34" s="189"/>
      <c r="E34" s="189"/>
      <c r="F34" s="189"/>
      <c r="G34" s="189"/>
      <c r="H34" s="189"/>
      <c r="I34" s="189"/>
      <c r="J34" s="189"/>
      <c r="K34" s="189"/>
      <c r="L34" s="189"/>
      <c r="M34" s="189"/>
    </row>
    <row r="35" spans="2:13" x14ac:dyDescent="0.3">
      <c r="B35" s="189"/>
      <c r="C35" s="189"/>
      <c r="D35" s="189"/>
      <c r="E35" s="189"/>
      <c r="F35" s="189"/>
      <c r="G35" s="189"/>
      <c r="H35" s="189"/>
      <c r="I35" s="189"/>
      <c r="J35" s="189"/>
      <c r="K35" s="189"/>
      <c r="L35" s="189"/>
      <c r="M35" s="189"/>
    </row>
    <row r="36" spans="2:13" x14ac:dyDescent="0.3">
      <c r="B36" s="189"/>
      <c r="C36" s="189"/>
      <c r="D36" s="189"/>
      <c r="E36" s="189"/>
      <c r="F36" s="189"/>
      <c r="G36" s="189"/>
      <c r="H36" s="189"/>
      <c r="I36" s="189"/>
      <c r="J36" s="189"/>
      <c r="K36" s="189"/>
      <c r="L36" s="189"/>
      <c r="M36" s="189"/>
    </row>
    <row r="37" spans="2:13" x14ac:dyDescent="0.3">
      <c r="B37" s="189"/>
      <c r="C37" s="189"/>
      <c r="D37" s="189"/>
      <c r="E37" s="189"/>
      <c r="F37" s="189"/>
      <c r="G37" s="189"/>
      <c r="H37" s="189"/>
      <c r="I37" s="189"/>
      <c r="J37" s="189"/>
      <c r="K37" s="189"/>
      <c r="L37" s="189"/>
      <c r="M37" s="189"/>
    </row>
    <row r="38" spans="2:13" x14ac:dyDescent="0.3">
      <c r="B38" s="189"/>
      <c r="C38" s="189"/>
      <c r="D38" s="189"/>
      <c r="E38" s="189"/>
      <c r="F38" s="189"/>
      <c r="G38" s="189"/>
      <c r="H38" s="189"/>
      <c r="I38" s="189"/>
      <c r="J38" s="189"/>
      <c r="K38" s="189"/>
      <c r="L38" s="189"/>
      <c r="M38" s="189"/>
    </row>
    <row r="39" spans="2:13" x14ac:dyDescent="0.3">
      <c r="B39" s="189"/>
      <c r="C39" s="189"/>
      <c r="D39" s="189"/>
      <c r="E39" s="189"/>
      <c r="F39" s="189"/>
      <c r="G39" s="189"/>
      <c r="H39" s="189"/>
      <c r="I39" s="189"/>
      <c r="J39" s="189"/>
      <c r="K39" s="189"/>
      <c r="L39" s="189"/>
      <c r="M39" s="189"/>
    </row>
    <row r="40" spans="2:13" x14ac:dyDescent="0.3">
      <c r="B40" s="189"/>
      <c r="C40" s="189"/>
      <c r="D40" s="189"/>
      <c r="E40" s="189"/>
      <c r="F40" s="189"/>
      <c r="G40" s="189"/>
      <c r="H40" s="189"/>
      <c r="I40" s="189"/>
      <c r="J40" s="189"/>
      <c r="K40" s="189"/>
      <c r="L40" s="189"/>
      <c r="M40" s="189"/>
    </row>
    <row r="41" spans="2:13" x14ac:dyDescent="0.3">
      <c r="B41" s="189"/>
      <c r="C41" s="189"/>
      <c r="D41" s="189"/>
      <c r="E41" s="189"/>
      <c r="F41" s="189"/>
      <c r="G41" s="189"/>
      <c r="H41" s="189"/>
      <c r="I41" s="189"/>
      <c r="J41" s="189"/>
      <c r="K41" s="189"/>
      <c r="L41" s="189"/>
      <c r="M41" s="189"/>
    </row>
    <row r="42" spans="2:13" x14ac:dyDescent="0.3">
      <c r="B42" s="189"/>
      <c r="C42" s="189"/>
      <c r="D42" s="189"/>
      <c r="E42" s="189"/>
      <c r="F42" s="189"/>
      <c r="G42" s="189"/>
      <c r="H42" s="189"/>
      <c r="I42" s="189"/>
      <c r="J42" s="189"/>
      <c r="K42" s="189"/>
      <c r="L42" s="189"/>
      <c r="M42" s="189"/>
    </row>
    <row r="43" spans="2:13" x14ac:dyDescent="0.3">
      <c r="B43" s="189"/>
      <c r="C43" s="189"/>
      <c r="D43" s="189"/>
      <c r="E43" s="189"/>
      <c r="F43" s="189"/>
      <c r="G43" s="189"/>
      <c r="H43" s="189"/>
      <c r="I43" s="189"/>
      <c r="J43" s="189"/>
      <c r="K43" s="189"/>
      <c r="L43" s="189"/>
      <c r="M43" s="189"/>
    </row>
    <row r="44" spans="2:13" x14ac:dyDescent="0.3">
      <c r="B44" s="189"/>
      <c r="C44" s="189"/>
      <c r="D44" s="189"/>
      <c r="E44" s="189"/>
      <c r="F44" s="189"/>
      <c r="G44" s="189"/>
      <c r="H44" s="189"/>
      <c r="I44" s="189"/>
      <c r="J44" s="189"/>
      <c r="K44" s="189"/>
      <c r="L44" s="189"/>
      <c r="M44" s="189"/>
    </row>
    <row r="45" spans="2:13" x14ac:dyDescent="0.3">
      <c r="B45" s="189"/>
      <c r="C45" s="189"/>
      <c r="D45" s="189"/>
      <c r="E45" s="189"/>
      <c r="F45" s="189"/>
      <c r="G45" s="189"/>
      <c r="H45" s="189"/>
      <c r="I45" s="189"/>
      <c r="J45" s="189"/>
      <c r="K45" s="189"/>
      <c r="L45" s="189"/>
      <c r="M45" s="189"/>
    </row>
    <row r="46" spans="2:13" x14ac:dyDescent="0.3">
      <c r="B46" s="189"/>
      <c r="C46" s="189"/>
      <c r="D46" s="189"/>
      <c r="E46" s="189"/>
      <c r="F46" s="189"/>
      <c r="G46" s="189"/>
      <c r="H46" s="189"/>
      <c r="I46" s="189"/>
      <c r="J46" s="189"/>
      <c r="K46" s="189"/>
      <c r="L46" s="189"/>
      <c r="M46" s="189"/>
    </row>
    <row r="47" spans="2:13" x14ac:dyDescent="0.3">
      <c r="B47" s="189"/>
      <c r="C47" s="189"/>
      <c r="D47" s="189"/>
      <c r="E47" s="189"/>
      <c r="F47" s="189"/>
      <c r="G47" s="189"/>
      <c r="H47" s="189"/>
      <c r="I47" s="189"/>
      <c r="J47" s="189"/>
      <c r="K47" s="189"/>
      <c r="L47" s="189"/>
      <c r="M47" s="189"/>
    </row>
    <row r="48" spans="2:13" x14ac:dyDescent="0.3">
      <c r="B48" s="189"/>
      <c r="C48" s="189"/>
      <c r="D48" s="189"/>
      <c r="E48" s="189"/>
      <c r="F48" s="189"/>
      <c r="G48" s="189"/>
      <c r="H48" s="189"/>
      <c r="I48" s="189"/>
      <c r="J48" s="189"/>
      <c r="K48" s="189"/>
      <c r="L48" s="189"/>
      <c r="M48" s="189"/>
    </row>
    <row r="49" spans="2:18" ht="28.8" x14ac:dyDescent="0.3">
      <c r="B49" s="189"/>
      <c r="C49" s="189"/>
      <c r="D49" s="189"/>
      <c r="E49" s="189"/>
      <c r="F49" s="189"/>
      <c r="G49" s="189"/>
      <c r="H49" s="189"/>
      <c r="I49" s="189"/>
      <c r="J49" s="189"/>
      <c r="K49" s="189"/>
      <c r="L49" s="189"/>
      <c r="M49" s="189"/>
      <c r="P49" s="52" t="s">
        <v>3</v>
      </c>
      <c r="Q49" s="52" t="s">
        <v>61</v>
      </c>
      <c r="R49" s="52"/>
    </row>
    <row r="50" spans="2:18" x14ac:dyDescent="0.3">
      <c r="B50" s="189"/>
      <c r="C50" s="189"/>
      <c r="D50" s="189"/>
      <c r="E50" s="189"/>
      <c r="F50" s="189"/>
      <c r="G50" s="189"/>
      <c r="H50" s="189"/>
      <c r="I50" s="189"/>
      <c r="J50" s="189"/>
      <c r="K50" s="189"/>
      <c r="L50" s="189"/>
      <c r="M50" s="189"/>
      <c r="P50">
        <v>55</v>
      </c>
      <c r="Q50" s="60">
        <v>0.61</v>
      </c>
      <c r="R50" s="60">
        <v>15.24</v>
      </c>
    </row>
    <row r="51" spans="2:18" x14ac:dyDescent="0.3">
      <c r="B51" s="189"/>
      <c r="C51" s="189"/>
      <c r="D51" s="189"/>
      <c r="E51" s="189"/>
      <c r="F51" s="189"/>
      <c r="G51" s="189"/>
      <c r="H51" s="189"/>
      <c r="I51" s="189"/>
      <c r="J51" s="189"/>
      <c r="K51" s="189"/>
      <c r="L51" s="189"/>
      <c r="M51" s="189"/>
      <c r="P51">
        <v>56</v>
      </c>
      <c r="Q51" s="60">
        <v>0.66</v>
      </c>
      <c r="R51" s="60">
        <v>15</v>
      </c>
    </row>
    <row r="52" spans="2:18" x14ac:dyDescent="0.3">
      <c r="B52" s="189"/>
      <c r="C52" s="189"/>
      <c r="D52" s="189"/>
      <c r="E52" s="189"/>
      <c r="F52" s="189"/>
      <c r="G52" s="189"/>
      <c r="H52" s="189"/>
      <c r="I52" s="189"/>
      <c r="J52" s="189"/>
      <c r="K52" s="189"/>
      <c r="L52" s="189"/>
      <c r="M52" s="189"/>
      <c r="P52">
        <v>57</v>
      </c>
      <c r="Q52" s="60">
        <v>0.7</v>
      </c>
      <c r="R52" s="60">
        <v>14.75</v>
      </c>
    </row>
    <row r="53" spans="2:18" x14ac:dyDescent="0.3">
      <c r="B53" s="189"/>
      <c r="C53" s="189"/>
      <c r="D53" s="189"/>
      <c r="E53" s="189"/>
      <c r="F53" s="189"/>
      <c r="G53" s="189"/>
      <c r="H53" s="189"/>
      <c r="I53" s="189"/>
      <c r="J53" s="189"/>
      <c r="K53" s="189"/>
      <c r="L53" s="189"/>
      <c r="M53" s="189"/>
      <c r="P53">
        <v>58</v>
      </c>
      <c r="Q53" s="60">
        <v>0.75</v>
      </c>
      <c r="R53" s="60">
        <v>14.5</v>
      </c>
    </row>
    <row r="54" spans="2:18" x14ac:dyDescent="0.3">
      <c r="B54" s="189"/>
      <c r="C54" s="189"/>
      <c r="D54" s="189"/>
      <c r="E54" s="189"/>
      <c r="F54" s="189"/>
      <c r="G54" s="189"/>
      <c r="H54" s="189"/>
      <c r="I54" s="189"/>
      <c r="J54" s="189"/>
      <c r="K54" s="189"/>
      <c r="L54" s="189"/>
      <c r="M54" s="189"/>
      <c r="P54">
        <v>59</v>
      </c>
      <c r="Q54" s="60">
        <v>0.8</v>
      </c>
      <c r="R54" s="60">
        <v>14.24</v>
      </c>
    </row>
    <row r="55" spans="2:18" x14ac:dyDescent="0.3">
      <c r="B55" s="189"/>
      <c r="C55" s="189"/>
      <c r="D55" s="189"/>
      <c r="E55" s="189"/>
      <c r="F55" s="189"/>
      <c r="G55" s="189"/>
      <c r="H55" s="189"/>
      <c r="I55" s="189"/>
      <c r="J55" s="189"/>
      <c r="K55" s="189"/>
      <c r="L55" s="189"/>
      <c r="M55" s="189"/>
      <c r="P55">
        <v>60</v>
      </c>
      <c r="Q55" s="60">
        <v>0.86</v>
      </c>
      <c r="R55" s="60">
        <v>13.97</v>
      </c>
    </row>
    <row r="56" spans="2:18" x14ac:dyDescent="0.3">
      <c r="B56" s="189"/>
      <c r="C56" s="189"/>
      <c r="D56" s="189"/>
      <c r="E56" s="189"/>
      <c r="F56" s="189"/>
      <c r="G56" s="189"/>
      <c r="H56" s="189"/>
      <c r="I56" s="189"/>
      <c r="J56" s="189"/>
      <c r="K56" s="189"/>
      <c r="L56" s="189"/>
      <c r="M56" s="189"/>
      <c r="P56">
        <v>61</v>
      </c>
      <c r="Q56" s="60">
        <v>0.93</v>
      </c>
      <c r="R56" s="60">
        <v>13.7</v>
      </c>
    </row>
    <row r="57" spans="2:18" x14ac:dyDescent="0.3">
      <c r="B57" s="189"/>
      <c r="C57" s="189"/>
      <c r="D57" s="189"/>
      <c r="E57" s="189"/>
      <c r="F57" s="189"/>
      <c r="G57" s="189"/>
      <c r="H57" s="189"/>
      <c r="I57" s="189"/>
      <c r="J57" s="189"/>
      <c r="K57" s="189"/>
      <c r="L57" s="189"/>
      <c r="M57" s="189"/>
      <c r="P57">
        <v>62</v>
      </c>
      <c r="Q57" s="60">
        <v>1</v>
      </c>
      <c r="R57" s="60">
        <v>13.41</v>
      </c>
    </row>
    <row r="58" spans="2:18" x14ac:dyDescent="0.3">
      <c r="B58" s="189"/>
      <c r="C58" s="189"/>
      <c r="D58" s="189"/>
      <c r="E58" s="189"/>
      <c r="F58" s="189"/>
      <c r="G58" s="189"/>
      <c r="H58" s="189"/>
      <c r="I58" s="189"/>
      <c r="J58" s="189"/>
      <c r="K58" s="189"/>
      <c r="L58" s="189"/>
      <c r="M58" s="189"/>
      <c r="P58">
        <v>63</v>
      </c>
      <c r="Q58" s="60">
        <v>1</v>
      </c>
      <c r="R58" s="60">
        <v>13.13</v>
      </c>
    </row>
    <row r="59" spans="2:18" x14ac:dyDescent="0.3">
      <c r="B59" s="189"/>
      <c r="C59" s="189"/>
      <c r="D59" s="189"/>
      <c r="E59" s="189"/>
      <c r="F59" s="189"/>
      <c r="G59" s="189"/>
      <c r="H59" s="189"/>
      <c r="I59" s="189"/>
      <c r="J59" s="189"/>
      <c r="K59" s="189"/>
      <c r="L59" s="189"/>
      <c r="M59" s="189"/>
      <c r="P59">
        <v>64</v>
      </c>
      <c r="Q59" s="60">
        <v>1</v>
      </c>
      <c r="R59" s="60">
        <v>12.83</v>
      </c>
    </row>
    <row r="60" spans="2:18" x14ac:dyDescent="0.3">
      <c r="B60" s="189"/>
      <c r="C60" s="189"/>
      <c r="D60" s="189"/>
      <c r="E60" s="189"/>
      <c r="F60" s="189"/>
      <c r="G60" s="189"/>
      <c r="H60" s="189"/>
      <c r="I60" s="189"/>
      <c r="J60" s="189"/>
      <c r="K60" s="189"/>
      <c r="L60" s="189"/>
      <c r="M60" s="189"/>
      <c r="P60">
        <v>65</v>
      </c>
      <c r="Q60" s="60">
        <v>1</v>
      </c>
      <c r="R60" s="60">
        <v>12.53</v>
      </c>
    </row>
    <row r="61" spans="2:18" x14ac:dyDescent="0.3">
      <c r="B61" s="189"/>
      <c r="C61" s="189"/>
      <c r="D61" s="189"/>
      <c r="E61" s="189"/>
      <c r="F61" s="189"/>
      <c r="G61" s="189"/>
      <c r="H61" s="189"/>
      <c r="I61" s="189"/>
      <c r="J61" s="189"/>
      <c r="K61" s="189"/>
      <c r="L61" s="189"/>
      <c r="M61" s="189"/>
      <c r="P61">
        <v>66</v>
      </c>
      <c r="Q61" s="60">
        <v>1.08</v>
      </c>
      <c r="R61" s="60">
        <v>12.23</v>
      </c>
    </row>
    <row r="62" spans="2:18" x14ac:dyDescent="0.3">
      <c r="B62" s="189"/>
      <c r="C62" s="189"/>
      <c r="D62" s="189"/>
      <c r="E62" s="189"/>
      <c r="F62" s="189"/>
      <c r="G62" s="189"/>
      <c r="H62" s="189"/>
      <c r="I62" s="189"/>
      <c r="J62" s="189"/>
      <c r="K62" s="189"/>
      <c r="L62" s="189"/>
      <c r="M62" s="189"/>
      <c r="P62">
        <v>67</v>
      </c>
      <c r="Q62" s="60">
        <v>1.18</v>
      </c>
      <c r="R62" s="60">
        <v>11.92</v>
      </c>
    </row>
    <row r="63" spans="2:18" x14ac:dyDescent="0.3">
      <c r="B63" s="189"/>
      <c r="C63" s="189"/>
      <c r="D63" s="189"/>
      <c r="E63" s="189"/>
      <c r="F63" s="189"/>
      <c r="G63" s="189"/>
      <c r="H63" s="189"/>
      <c r="I63" s="189"/>
      <c r="J63" s="189"/>
      <c r="K63" s="189"/>
      <c r="L63" s="189"/>
      <c r="M63" s="189"/>
      <c r="P63">
        <v>68</v>
      </c>
      <c r="Q63" s="60">
        <v>1.28</v>
      </c>
      <c r="R63" s="60">
        <v>11.59</v>
      </c>
    </row>
    <row r="64" spans="2:18" x14ac:dyDescent="0.3">
      <c r="B64" s="189"/>
      <c r="C64" s="189"/>
      <c r="D64" s="189"/>
      <c r="E64" s="189"/>
      <c r="F64" s="189"/>
      <c r="G64" s="189"/>
      <c r="H64" s="189"/>
      <c r="I64" s="189"/>
      <c r="J64" s="189"/>
      <c r="K64" s="189"/>
      <c r="L64" s="189"/>
      <c r="M64" s="189"/>
      <c r="P64">
        <v>69</v>
      </c>
      <c r="Q64" s="60">
        <v>1.4</v>
      </c>
      <c r="R64" s="60">
        <v>11.27</v>
      </c>
    </row>
    <row r="65" spans="2:18" x14ac:dyDescent="0.3">
      <c r="B65" s="189"/>
      <c r="C65" s="189"/>
      <c r="D65" s="189"/>
      <c r="E65" s="189"/>
      <c r="F65" s="189"/>
      <c r="G65" s="189"/>
      <c r="H65" s="189"/>
      <c r="I65" s="189"/>
      <c r="J65" s="189"/>
      <c r="K65" s="189"/>
      <c r="L65" s="189"/>
      <c r="M65" s="189"/>
      <c r="P65">
        <v>70</v>
      </c>
      <c r="Q65" s="60">
        <v>1.53</v>
      </c>
      <c r="R65" s="60">
        <v>10.93</v>
      </c>
    </row>
    <row r="66" spans="2:18" x14ac:dyDescent="0.3">
      <c r="B66" s="189"/>
      <c r="C66" s="189"/>
      <c r="D66" s="189"/>
      <c r="E66" s="189"/>
      <c r="F66" s="189"/>
      <c r="G66" s="189"/>
      <c r="H66" s="189"/>
      <c r="I66" s="189"/>
      <c r="J66" s="189"/>
      <c r="K66" s="189"/>
      <c r="L66" s="189"/>
      <c r="M66" s="189"/>
    </row>
    <row r="67" spans="2:18" x14ac:dyDescent="0.3">
      <c r="B67" s="189"/>
      <c r="C67" s="189"/>
      <c r="D67" s="189"/>
      <c r="E67" s="189"/>
      <c r="F67" s="189"/>
      <c r="G67" s="189"/>
      <c r="H67" s="189"/>
      <c r="I67" s="189"/>
      <c r="J67" s="189"/>
      <c r="K67" s="189"/>
      <c r="L67" s="189"/>
      <c r="M67" s="189"/>
    </row>
    <row r="68" spans="2:18" x14ac:dyDescent="0.3">
      <c r="B68" s="189"/>
      <c r="C68" s="189"/>
      <c r="D68" s="189"/>
      <c r="E68" s="189"/>
      <c r="F68" s="189"/>
      <c r="G68" s="189"/>
      <c r="H68" s="189"/>
      <c r="I68" s="189"/>
      <c r="J68" s="189"/>
      <c r="K68" s="189"/>
      <c r="L68" s="189"/>
      <c r="M68" s="189"/>
    </row>
    <row r="69" spans="2:18" x14ac:dyDescent="0.3">
      <c r="B69" s="189"/>
      <c r="C69" s="189"/>
      <c r="D69" s="189"/>
      <c r="E69" s="189"/>
      <c r="F69" s="189"/>
      <c r="G69" s="189"/>
      <c r="H69" s="189"/>
      <c r="I69" s="189"/>
      <c r="J69" s="189"/>
      <c r="K69" s="189"/>
      <c r="L69" s="189"/>
      <c r="M69" s="189"/>
    </row>
    <row r="70" spans="2:18" x14ac:dyDescent="0.3">
      <c r="B70" s="189"/>
      <c r="C70" s="189"/>
      <c r="D70" s="189"/>
      <c r="E70" s="189"/>
      <c r="F70" s="189"/>
      <c r="G70" s="189"/>
      <c r="H70" s="189"/>
      <c r="I70" s="189"/>
      <c r="J70" s="189"/>
      <c r="K70" s="189"/>
      <c r="L70" s="189"/>
      <c r="M70" s="189"/>
    </row>
    <row r="71" spans="2:18" x14ac:dyDescent="0.3">
      <c r="B71" s="189"/>
      <c r="C71" s="189"/>
      <c r="D71" s="189"/>
      <c r="E71" s="189"/>
      <c r="F71" s="189"/>
      <c r="G71" s="189"/>
      <c r="H71" s="189"/>
      <c r="I71" s="189"/>
      <c r="J71" s="189"/>
      <c r="K71" s="189"/>
      <c r="L71" s="189"/>
      <c r="M71" s="189"/>
    </row>
    <row r="72" spans="2:18" x14ac:dyDescent="0.3">
      <c r="B72" s="189"/>
      <c r="C72" s="189"/>
      <c r="D72" s="189"/>
      <c r="E72" s="189"/>
      <c r="F72" s="189"/>
      <c r="G72" s="189"/>
      <c r="H72" s="189"/>
      <c r="I72" s="189"/>
      <c r="J72" s="189"/>
      <c r="K72" s="189"/>
      <c r="L72" s="189"/>
      <c r="M72" s="189"/>
    </row>
    <row r="73" spans="2:18" x14ac:dyDescent="0.3">
      <c r="B73" s="189"/>
      <c r="C73" s="189"/>
      <c r="D73" s="189"/>
      <c r="E73" s="189"/>
      <c r="F73" s="189"/>
      <c r="G73" s="189"/>
      <c r="H73" s="189"/>
      <c r="I73" s="189"/>
      <c r="J73" s="189"/>
      <c r="K73" s="189"/>
      <c r="L73" s="189"/>
      <c r="M73" s="189"/>
    </row>
  </sheetData>
  <mergeCells count="1">
    <mergeCell ref="B6:M7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8E39-BC60-449D-B4A5-38BACAA3C462}">
  <sheetPr>
    <tabColor theme="9" tint="0.59999389629810485"/>
  </sheetPr>
  <dimension ref="A1:T124"/>
  <sheetViews>
    <sheetView zoomScale="115" zoomScaleNormal="115" workbookViewId="0"/>
  </sheetViews>
  <sheetFormatPr defaultRowHeight="14.4" x14ac:dyDescent="0.3"/>
  <cols>
    <col min="1" max="1" width="17.88671875" customWidth="1"/>
    <col min="2" max="2" width="18.33203125" customWidth="1"/>
    <col min="3" max="3" width="16.109375" customWidth="1"/>
    <col min="5" max="5" width="23.33203125" customWidth="1"/>
    <col min="6" max="6" width="13.6640625" customWidth="1"/>
    <col min="7" max="8" width="13.5546875" customWidth="1"/>
    <col min="9" max="9" width="13.33203125" bestFit="1" customWidth="1"/>
    <col min="10" max="10" width="16.44140625" customWidth="1"/>
    <col min="11" max="11" width="5.109375" customWidth="1"/>
    <col min="12" max="12" width="14.5546875" customWidth="1"/>
    <col min="13" max="13" width="14.109375" customWidth="1"/>
    <col min="14" max="14" width="12.88671875" customWidth="1"/>
    <col min="15" max="15" width="15.44140625" customWidth="1"/>
    <col min="16" max="16" width="13.44140625" customWidth="1"/>
    <col min="17" max="17" width="12.33203125" customWidth="1"/>
    <col min="18" max="18" width="8.33203125" customWidth="1"/>
    <col min="19" max="19" width="17.109375" customWidth="1"/>
    <col min="20" max="20" width="11.109375" customWidth="1"/>
  </cols>
  <sheetData>
    <row r="1" spans="1:20" x14ac:dyDescent="0.3">
      <c r="A1" s="186" t="s">
        <v>222</v>
      </c>
    </row>
    <row r="5" spans="1:20" x14ac:dyDescent="0.3">
      <c r="E5" s="4" t="s">
        <v>17</v>
      </c>
      <c r="G5" s="8">
        <v>0.05</v>
      </c>
    </row>
    <row r="6" spans="1:20" x14ac:dyDescent="0.3">
      <c r="E6" s="4" t="s">
        <v>84</v>
      </c>
      <c r="G6" s="8">
        <v>0.03</v>
      </c>
    </row>
    <row r="9" spans="1:20" x14ac:dyDescent="0.3">
      <c r="E9" s="4" t="s">
        <v>9</v>
      </c>
    </row>
    <row r="10" spans="1:20" x14ac:dyDescent="0.3">
      <c r="E10" s="30"/>
      <c r="F10" s="11"/>
      <c r="G10" s="11"/>
      <c r="H10" s="11"/>
      <c r="I10" s="11"/>
      <c r="J10" s="11"/>
      <c r="K10" s="11"/>
      <c r="L10" s="11"/>
      <c r="M10" s="11"/>
      <c r="N10" s="11"/>
      <c r="O10" s="11"/>
      <c r="P10" s="11"/>
      <c r="Q10" s="11"/>
      <c r="R10" s="11"/>
      <c r="S10" s="12"/>
    </row>
    <row r="11" spans="1:20" x14ac:dyDescent="0.3">
      <c r="E11" s="13"/>
      <c r="F11" s="4" t="s">
        <v>76</v>
      </c>
      <c r="M11" s="4" t="s">
        <v>75</v>
      </c>
      <c r="S11" s="14"/>
    </row>
    <row r="12" spans="1:20" x14ac:dyDescent="0.3">
      <c r="E12" s="13"/>
      <c r="F12" t="s">
        <v>74</v>
      </c>
      <c r="G12">
        <v>500</v>
      </c>
      <c r="M12" t="s">
        <v>74</v>
      </c>
      <c r="N12" s="17">
        <v>1500</v>
      </c>
      <c r="S12" s="14"/>
    </row>
    <row r="13" spans="1:20" x14ac:dyDescent="0.3">
      <c r="E13" s="13"/>
      <c r="F13" t="s">
        <v>3</v>
      </c>
      <c r="G13">
        <v>40</v>
      </c>
      <c r="M13" t="s">
        <v>3</v>
      </c>
      <c r="N13">
        <v>60</v>
      </c>
      <c r="S13" s="14"/>
    </row>
    <row r="14" spans="1:20" ht="30" customHeight="1" x14ac:dyDescent="0.3">
      <c r="E14" s="13"/>
      <c r="F14" t="s">
        <v>81</v>
      </c>
      <c r="G14" s="17">
        <v>100000</v>
      </c>
      <c r="M14" t="s">
        <v>81</v>
      </c>
      <c r="N14" s="17">
        <v>150000</v>
      </c>
      <c r="S14" s="37" t="s">
        <v>69</v>
      </c>
    </row>
    <row r="15" spans="1:20" x14ac:dyDescent="0.3">
      <c r="E15" s="13"/>
      <c r="S15" s="14"/>
    </row>
    <row r="16" spans="1:20" ht="57.6" x14ac:dyDescent="0.3">
      <c r="E16" s="71" t="s">
        <v>3</v>
      </c>
      <c r="F16" s="52" t="s">
        <v>66</v>
      </c>
      <c r="G16" s="52" t="s">
        <v>72</v>
      </c>
      <c r="H16" s="52" t="s">
        <v>71</v>
      </c>
      <c r="I16" s="52" t="s">
        <v>80</v>
      </c>
      <c r="J16" s="52" t="s">
        <v>70</v>
      </c>
      <c r="L16" s="52" t="s">
        <v>3</v>
      </c>
      <c r="M16" s="52" t="s">
        <v>66</v>
      </c>
      <c r="N16" s="52" t="s">
        <v>72</v>
      </c>
      <c r="O16" s="52" t="s">
        <v>71</v>
      </c>
      <c r="P16" s="52" t="s">
        <v>80</v>
      </c>
      <c r="Q16" s="52" t="s">
        <v>70</v>
      </c>
      <c r="S16" s="37" t="s">
        <v>80</v>
      </c>
      <c r="T16" s="52"/>
    </row>
    <row r="17" spans="5:19" x14ac:dyDescent="0.3">
      <c r="E17" s="13">
        <v>55</v>
      </c>
      <c r="F17" s="19">
        <v>0.02</v>
      </c>
      <c r="G17" s="42">
        <f>G12*F17</f>
        <v>10</v>
      </c>
      <c r="H17" s="42">
        <f>G12-G17</f>
        <v>490</v>
      </c>
      <c r="I17" s="72">
        <f t="shared" ref="I17:I27" si="0">G17*$G$14*(1+$G$6)^(E17-$G$13)</f>
        <v>1557967.4166007645</v>
      </c>
      <c r="J17" s="17">
        <f t="shared" ref="J17:J27" si="1">I17*(1+$G$5)^-(E17-$G$13)</f>
        <v>749408.96565358539</v>
      </c>
      <c r="L17">
        <v>55</v>
      </c>
      <c r="M17" s="70" t="s">
        <v>8</v>
      </c>
      <c r="N17" s="70" t="s">
        <v>8</v>
      </c>
      <c r="O17" s="70" t="s">
        <v>8</v>
      </c>
      <c r="P17" s="70" t="s">
        <v>8</v>
      </c>
      <c r="Q17" s="70" t="s">
        <v>8</v>
      </c>
      <c r="R17" s="2"/>
      <c r="S17" s="73" t="s">
        <v>8</v>
      </c>
    </row>
    <row r="18" spans="5:19" x14ac:dyDescent="0.3">
      <c r="E18" s="13">
        <v>56</v>
      </c>
      <c r="F18" s="19">
        <v>0.02</v>
      </c>
      <c r="G18" s="42">
        <f t="shared" ref="G18:G27" si="2">H17*F18</f>
        <v>9.8000000000000007</v>
      </c>
      <c r="H18" s="42">
        <f t="shared" ref="H18:H27" si="3">H17-G18</f>
        <v>480.2</v>
      </c>
      <c r="I18" s="72">
        <f t="shared" si="0"/>
        <v>1572612.3103168115</v>
      </c>
      <c r="J18" s="17">
        <f t="shared" si="1"/>
        <v>720431.81898164668</v>
      </c>
      <c r="L18">
        <v>56</v>
      </c>
      <c r="M18" s="70" t="s">
        <v>8</v>
      </c>
      <c r="N18" s="70" t="s">
        <v>8</v>
      </c>
      <c r="O18" s="70" t="s">
        <v>8</v>
      </c>
      <c r="P18" s="70" t="s">
        <v>8</v>
      </c>
      <c r="Q18" s="70" t="s">
        <v>8</v>
      </c>
      <c r="R18" s="2"/>
      <c r="S18" s="73" t="s">
        <v>8</v>
      </c>
    </row>
    <row r="19" spans="5:19" x14ac:dyDescent="0.3">
      <c r="E19" s="13">
        <v>57</v>
      </c>
      <c r="F19" s="19">
        <v>0.02</v>
      </c>
      <c r="G19" s="42">
        <f t="shared" si="2"/>
        <v>9.6039999999999992</v>
      </c>
      <c r="H19" s="42">
        <f t="shared" si="3"/>
        <v>470.596</v>
      </c>
      <c r="I19" s="72">
        <f t="shared" si="0"/>
        <v>1587394.8660337892</v>
      </c>
      <c r="J19" s="17">
        <f t="shared" si="1"/>
        <v>692575.12198102276</v>
      </c>
      <c r="L19">
        <v>57</v>
      </c>
      <c r="M19" s="70" t="s">
        <v>8</v>
      </c>
      <c r="N19" s="70" t="s">
        <v>8</v>
      </c>
      <c r="O19" s="70" t="s">
        <v>8</v>
      </c>
      <c r="P19" s="70" t="s">
        <v>8</v>
      </c>
      <c r="Q19" s="70" t="s">
        <v>8</v>
      </c>
      <c r="R19" s="2"/>
      <c r="S19" s="73" t="s">
        <v>8</v>
      </c>
    </row>
    <row r="20" spans="5:19" x14ac:dyDescent="0.3">
      <c r="E20" s="13">
        <v>58</v>
      </c>
      <c r="F20" s="19">
        <v>0.02</v>
      </c>
      <c r="G20" s="42">
        <f t="shared" si="2"/>
        <v>9.4119200000000003</v>
      </c>
      <c r="H20" s="42">
        <f t="shared" si="3"/>
        <v>461.18407999999999</v>
      </c>
      <c r="I20" s="72">
        <f t="shared" si="0"/>
        <v>1602316.377774507</v>
      </c>
      <c r="J20" s="17">
        <f t="shared" si="1"/>
        <v>665795.55059775664</v>
      </c>
      <c r="L20">
        <v>58</v>
      </c>
      <c r="M20" s="70" t="s">
        <v>8</v>
      </c>
      <c r="N20" s="70" t="s">
        <v>8</v>
      </c>
      <c r="O20" s="70" t="s">
        <v>8</v>
      </c>
      <c r="P20" s="70" t="s">
        <v>8</v>
      </c>
      <c r="Q20" s="70" t="s">
        <v>8</v>
      </c>
      <c r="R20" s="2"/>
      <c r="S20" s="73" t="s">
        <v>8</v>
      </c>
    </row>
    <row r="21" spans="5:19" x14ac:dyDescent="0.3">
      <c r="E21" s="13">
        <v>59</v>
      </c>
      <c r="F21" s="19">
        <v>0.02</v>
      </c>
      <c r="G21" s="42">
        <f t="shared" si="2"/>
        <v>9.2236816000000008</v>
      </c>
      <c r="H21" s="42">
        <f t="shared" si="3"/>
        <v>451.96039839999997</v>
      </c>
      <c r="I21" s="72">
        <f t="shared" si="0"/>
        <v>1617378.1517255874</v>
      </c>
      <c r="J21" s="17">
        <f t="shared" si="1"/>
        <v>640051.45597464335</v>
      </c>
      <c r="L21">
        <v>59</v>
      </c>
      <c r="M21" s="70" t="s">
        <v>8</v>
      </c>
      <c r="N21" s="70" t="s">
        <v>8</v>
      </c>
      <c r="O21" s="70" t="s">
        <v>8</v>
      </c>
      <c r="P21" s="70" t="s">
        <v>8</v>
      </c>
      <c r="Q21" s="70" t="s">
        <v>8</v>
      </c>
      <c r="R21" s="2"/>
      <c r="S21" s="73" t="s">
        <v>8</v>
      </c>
    </row>
    <row r="22" spans="5:19" x14ac:dyDescent="0.3">
      <c r="E22" s="13">
        <v>60</v>
      </c>
      <c r="F22" s="19">
        <v>0.05</v>
      </c>
      <c r="G22" s="42">
        <f t="shared" si="2"/>
        <v>22.598019919999999</v>
      </c>
      <c r="H22" s="42">
        <f t="shared" si="3"/>
        <v>429.36237847999996</v>
      </c>
      <c r="I22" s="72">
        <f t="shared" si="0"/>
        <v>4081453.7658795197</v>
      </c>
      <c r="J22" s="17">
        <f t="shared" si="1"/>
        <v>1538256.9991923932</v>
      </c>
      <c r="L22">
        <v>60</v>
      </c>
      <c r="M22" s="19">
        <v>0</v>
      </c>
      <c r="N22" s="42">
        <f>M22*N12</f>
        <v>0</v>
      </c>
      <c r="O22" s="42">
        <f>N12-N22</f>
        <v>1500</v>
      </c>
      <c r="P22" s="72">
        <f t="shared" ref="P22:P27" si="4">N22*$N$14*(1+$G$6)^(L22-$N$13)</f>
        <v>0</v>
      </c>
      <c r="Q22" s="17">
        <f>P22*(1+$G$5)^-(L22-$G$13)</f>
        <v>0</v>
      </c>
      <c r="S22" s="15">
        <f t="shared" ref="S22:S27" si="5">I22+P22</f>
        <v>4081453.7658795197</v>
      </c>
    </row>
    <row r="23" spans="5:19" x14ac:dyDescent="0.3">
      <c r="E23" s="13">
        <v>61</v>
      </c>
      <c r="F23" s="19">
        <v>0.05</v>
      </c>
      <c r="G23" s="42">
        <f t="shared" si="2"/>
        <v>21.468118923999999</v>
      </c>
      <c r="H23" s="42">
        <f t="shared" si="3"/>
        <v>407.89425955599995</v>
      </c>
      <c r="I23" s="72">
        <f t="shared" si="0"/>
        <v>3993702.5099131088</v>
      </c>
      <c r="J23" s="17">
        <f t="shared" si="1"/>
        <v>1433509.0225807203</v>
      </c>
      <c r="L23">
        <v>61</v>
      </c>
      <c r="M23" s="19">
        <v>0</v>
      </c>
      <c r="N23" s="42">
        <f>O22*M23</f>
        <v>0</v>
      </c>
      <c r="O23" s="42">
        <f>O22-N23</f>
        <v>1500</v>
      </c>
      <c r="P23" s="72">
        <f t="shared" si="4"/>
        <v>0</v>
      </c>
      <c r="Q23" s="17">
        <f>P23*(1+$G$5)^-(L23-$G$13)</f>
        <v>0</v>
      </c>
      <c r="S23" s="15">
        <f t="shared" si="5"/>
        <v>3993702.5099131088</v>
      </c>
    </row>
    <row r="24" spans="5:19" x14ac:dyDescent="0.3">
      <c r="E24" s="13">
        <v>62</v>
      </c>
      <c r="F24" s="19">
        <v>0.1</v>
      </c>
      <c r="G24" s="42">
        <f t="shared" si="2"/>
        <v>40.789425955599995</v>
      </c>
      <c r="H24" s="42">
        <f t="shared" si="3"/>
        <v>367.10483360039996</v>
      </c>
      <c r="I24" s="72">
        <f t="shared" si="0"/>
        <v>7815675.8118999545</v>
      </c>
      <c r="J24" s="17">
        <f t="shared" si="1"/>
        <v>2671787.7687528282</v>
      </c>
      <c r="L24">
        <v>62</v>
      </c>
      <c r="M24" s="19">
        <v>0</v>
      </c>
      <c r="N24" s="42">
        <f>O23*M24</f>
        <v>0</v>
      </c>
      <c r="O24" s="42">
        <f>O23-N24</f>
        <v>1500</v>
      </c>
      <c r="P24" s="72">
        <f t="shared" si="4"/>
        <v>0</v>
      </c>
      <c r="Q24" s="17">
        <f>P24*(1+$G$5)^-(L24-$G$13)</f>
        <v>0</v>
      </c>
      <c r="S24" s="15">
        <f t="shared" si="5"/>
        <v>7815675.8118999545</v>
      </c>
    </row>
    <row r="25" spans="5:19" x14ac:dyDescent="0.3">
      <c r="E25" s="13">
        <v>63</v>
      </c>
      <c r="F25" s="19">
        <v>0.05</v>
      </c>
      <c r="G25" s="42">
        <f t="shared" si="2"/>
        <v>18.355241680019997</v>
      </c>
      <c r="H25" s="42">
        <f t="shared" si="3"/>
        <v>348.74959192037994</v>
      </c>
      <c r="I25" s="72">
        <f t="shared" si="0"/>
        <v>3622565.7388156289</v>
      </c>
      <c r="J25" s="17">
        <f t="shared" si="1"/>
        <v>1179403.457920891</v>
      </c>
      <c r="L25">
        <v>63</v>
      </c>
      <c r="M25" s="19">
        <v>0</v>
      </c>
      <c r="N25" s="42">
        <f>O24*M25</f>
        <v>0</v>
      </c>
      <c r="O25" s="42">
        <f>O24-N25</f>
        <v>1500</v>
      </c>
      <c r="P25" s="72">
        <f t="shared" si="4"/>
        <v>0</v>
      </c>
      <c r="Q25" s="17">
        <f>P25*(1+$G$5)^-(L25-$G$13)</f>
        <v>0</v>
      </c>
      <c r="S25" s="15">
        <f t="shared" si="5"/>
        <v>3622565.7388156289</v>
      </c>
    </row>
    <row r="26" spans="5:19" x14ac:dyDescent="0.3">
      <c r="E26" s="13">
        <v>64</v>
      </c>
      <c r="F26" s="19">
        <v>0.05</v>
      </c>
      <c r="G26" s="42">
        <f t="shared" si="2"/>
        <v>17.437479596018999</v>
      </c>
      <c r="H26" s="42">
        <f t="shared" si="3"/>
        <v>331.31211232436095</v>
      </c>
      <c r="I26" s="72">
        <f t="shared" si="0"/>
        <v>3544680.5754310926</v>
      </c>
      <c r="J26" s="17">
        <f t="shared" si="1"/>
        <v>1099091.6986434211</v>
      </c>
      <c r="L26">
        <v>64</v>
      </c>
      <c r="M26" s="19">
        <v>0</v>
      </c>
      <c r="N26" s="42">
        <f>O25*M26</f>
        <v>0</v>
      </c>
      <c r="O26" s="42">
        <f>O25-N26</f>
        <v>1500</v>
      </c>
      <c r="P26" s="72">
        <f t="shared" si="4"/>
        <v>0</v>
      </c>
      <c r="Q26" s="17">
        <f>P26*(1+$G$5)^-(L26-$G$13)</f>
        <v>0</v>
      </c>
      <c r="S26" s="15">
        <f t="shared" si="5"/>
        <v>3544680.5754310926</v>
      </c>
    </row>
    <row r="27" spans="5:19" x14ac:dyDescent="0.3">
      <c r="E27" s="13">
        <v>65</v>
      </c>
      <c r="F27" s="19">
        <v>1</v>
      </c>
      <c r="G27" s="42">
        <f t="shared" si="2"/>
        <v>331.31211232436095</v>
      </c>
      <c r="H27" s="42">
        <f t="shared" si="3"/>
        <v>0</v>
      </c>
      <c r="I27" s="72">
        <f t="shared" si="0"/>
        <v>69369398.861186475</v>
      </c>
      <c r="J27" s="17">
        <f t="shared" si="1"/>
        <v>20484975.754715946</v>
      </c>
      <c r="L27">
        <v>65</v>
      </c>
      <c r="M27" s="19">
        <v>1</v>
      </c>
      <c r="N27" s="42">
        <f>O26*M27</f>
        <v>1500</v>
      </c>
      <c r="O27" s="42">
        <f>O26-N27</f>
        <v>0</v>
      </c>
      <c r="P27" s="72">
        <f t="shared" si="4"/>
        <v>260836666.71749997</v>
      </c>
      <c r="Q27" s="17">
        <f>P27*(1+$G$5)^-(L27-$N$13)</f>
        <v>204372353.54757383</v>
      </c>
      <c r="S27" s="15">
        <f t="shared" si="5"/>
        <v>330206065.57868648</v>
      </c>
    </row>
    <row r="28" spans="5:19" x14ac:dyDescent="0.3">
      <c r="E28" s="13">
        <v>66</v>
      </c>
      <c r="L28">
        <v>66</v>
      </c>
      <c r="S28" s="14"/>
    </row>
    <row r="29" spans="5:19" x14ac:dyDescent="0.3">
      <c r="E29" s="13">
        <v>67</v>
      </c>
      <c r="L29">
        <v>67</v>
      </c>
      <c r="S29" s="14"/>
    </row>
    <row r="30" spans="5:19" x14ac:dyDescent="0.3">
      <c r="E30" s="13">
        <v>68</v>
      </c>
      <c r="L30">
        <v>68</v>
      </c>
      <c r="S30" s="14"/>
    </row>
    <row r="31" spans="5:19" x14ac:dyDescent="0.3">
      <c r="E31" s="13">
        <v>69</v>
      </c>
      <c r="L31">
        <v>69</v>
      </c>
      <c r="S31" s="14"/>
    </row>
    <row r="32" spans="5:19" x14ac:dyDescent="0.3">
      <c r="E32" s="13">
        <v>70</v>
      </c>
      <c r="L32">
        <v>70</v>
      </c>
      <c r="S32" s="14"/>
    </row>
    <row r="33" spans="1:19" x14ac:dyDescent="0.3">
      <c r="E33" s="13" t="s">
        <v>68</v>
      </c>
      <c r="G33" s="42">
        <f>SUM(G17:G27)</f>
        <v>499.99999999999989</v>
      </c>
      <c r="N33" s="42">
        <f>SUM(N17:N27)</f>
        <v>1500</v>
      </c>
      <c r="S33" s="14"/>
    </row>
    <row r="34" spans="1:19" x14ac:dyDescent="0.3">
      <c r="E34" s="22" t="s">
        <v>67</v>
      </c>
      <c r="F34" s="23"/>
      <c r="G34" s="23"/>
      <c r="H34" s="23"/>
      <c r="I34" s="23"/>
      <c r="J34" s="67">
        <f>SUM(J17:J27)</f>
        <v>31875287.614994854</v>
      </c>
      <c r="K34" s="23"/>
      <c r="L34" s="23"/>
      <c r="M34" s="23"/>
      <c r="N34" s="23"/>
      <c r="O34" s="23"/>
      <c r="P34" s="23"/>
      <c r="Q34" s="67">
        <f>SUM(Q17:Q27)</f>
        <v>204372353.54757383</v>
      </c>
      <c r="R34" s="23"/>
      <c r="S34" s="66">
        <f>J34+Q34</f>
        <v>236247641.16256869</v>
      </c>
    </row>
    <row r="38" spans="1:19" x14ac:dyDescent="0.3">
      <c r="A38" s="4" t="s">
        <v>83</v>
      </c>
      <c r="E38" s="4" t="s">
        <v>7</v>
      </c>
    </row>
    <row r="39" spans="1:19" x14ac:dyDescent="0.3">
      <c r="A39" s="190" t="s">
        <v>82</v>
      </c>
      <c r="B39" s="191"/>
      <c r="C39" s="192"/>
      <c r="E39" s="30"/>
      <c r="F39" s="11"/>
      <c r="G39" s="11"/>
      <c r="H39" s="11"/>
      <c r="I39" s="11"/>
      <c r="J39" s="11"/>
      <c r="K39" s="11"/>
      <c r="L39" s="11"/>
      <c r="M39" s="11"/>
      <c r="N39" s="11"/>
      <c r="O39" s="11"/>
      <c r="P39" s="11"/>
      <c r="Q39" s="11"/>
      <c r="R39" s="11"/>
      <c r="S39" s="12"/>
    </row>
    <row r="40" spans="1:19" x14ac:dyDescent="0.3">
      <c r="A40" s="193"/>
      <c r="B40" s="194"/>
      <c r="C40" s="195"/>
      <c r="E40" s="13"/>
      <c r="F40" s="4" t="s">
        <v>76</v>
      </c>
      <c r="M40" s="4" t="s">
        <v>75</v>
      </c>
      <c r="S40" s="14"/>
    </row>
    <row r="41" spans="1:19" x14ac:dyDescent="0.3">
      <c r="A41" s="193"/>
      <c r="B41" s="194"/>
      <c r="C41" s="195"/>
      <c r="E41" s="13"/>
      <c r="F41" t="s">
        <v>74</v>
      </c>
      <c r="G41">
        <v>500</v>
      </c>
      <c r="M41" t="s">
        <v>74</v>
      </c>
      <c r="N41" s="17">
        <v>1500</v>
      </c>
      <c r="S41" s="14"/>
    </row>
    <row r="42" spans="1:19" x14ac:dyDescent="0.3">
      <c r="A42" s="193"/>
      <c r="B42" s="194"/>
      <c r="C42" s="195"/>
      <c r="E42" s="13"/>
      <c r="F42" t="s">
        <v>3</v>
      </c>
      <c r="G42">
        <v>40</v>
      </c>
      <c r="M42" t="s">
        <v>3</v>
      </c>
      <c r="N42">
        <v>60</v>
      </c>
      <c r="S42" s="14"/>
    </row>
    <row r="43" spans="1:19" ht="28.8" x14ac:dyDescent="0.3">
      <c r="A43" s="193"/>
      <c r="B43" s="194"/>
      <c r="C43" s="195"/>
      <c r="E43" s="13"/>
      <c r="F43" t="s">
        <v>81</v>
      </c>
      <c r="G43" s="17">
        <v>100000</v>
      </c>
      <c r="M43" t="s">
        <v>81</v>
      </c>
      <c r="N43" s="17">
        <v>150000</v>
      </c>
      <c r="S43" s="37" t="s">
        <v>69</v>
      </c>
    </row>
    <row r="44" spans="1:19" x14ac:dyDescent="0.3">
      <c r="A44" s="193"/>
      <c r="B44" s="194"/>
      <c r="C44" s="195"/>
      <c r="E44" s="13"/>
      <c r="S44" s="14"/>
    </row>
    <row r="45" spans="1:19" ht="57.6" x14ac:dyDescent="0.3">
      <c r="A45" s="193"/>
      <c r="B45" s="194"/>
      <c r="C45" s="195"/>
      <c r="E45" s="71" t="s">
        <v>3</v>
      </c>
      <c r="F45" s="52" t="s">
        <v>65</v>
      </c>
      <c r="G45" s="52" t="s">
        <v>72</v>
      </c>
      <c r="H45" s="52" t="s">
        <v>71</v>
      </c>
      <c r="I45" s="52" t="s">
        <v>80</v>
      </c>
      <c r="J45" s="52" t="s">
        <v>70</v>
      </c>
      <c r="L45" s="52" t="s">
        <v>3</v>
      </c>
      <c r="M45" s="52" t="s">
        <v>65</v>
      </c>
      <c r="N45" s="52" t="s">
        <v>72</v>
      </c>
      <c r="O45" s="52" t="s">
        <v>71</v>
      </c>
      <c r="P45" s="52" t="s">
        <v>80</v>
      </c>
      <c r="Q45" s="52" t="s">
        <v>70</v>
      </c>
      <c r="S45" s="37" t="s">
        <v>80</v>
      </c>
    </row>
    <row r="46" spans="1:19" x14ac:dyDescent="0.3">
      <c r="A46" s="193"/>
      <c r="B46" s="194"/>
      <c r="C46" s="195"/>
      <c r="E46" s="13">
        <v>55</v>
      </c>
      <c r="F46" s="19">
        <v>0.01</v>
      </c>
      <c r="G46" s="42">
        <f>G41*F46</f>
        <v>5</v>
      </c>
      <c r="H46" s="42">
        <f>G41-G46</f>
        <v>495</v>
      </c>
      <c r="I46" s="72">
        <f t="shared" ref="I46:I61" si="6">G46*$G$43*(1+$G$6)^(E46-$G$42)</f>
        <v>778983.70830038225</v>
      </c>
      <c r="J46" s="17">
        <f t="shared" ref="J46:J61" si="7">I46*(1+$G$5)^-(E46-$G$42)</f>
        <v>374704.48282679269</v>
      </c>
      <c r="L46">
        <v>55</v>
      </c>
      <c r="M46" s="70" t="s">
        <v>8</v>
      </c>
      <c r="N46" s="70" t="s">
        <v>8</v>
      </c>
      <c r="O46" s="70" t="s">
        <v>8</v>
      </c>
      <c r="P46" s="70" t="s">
        <v>8</v>
      </c>
      <c r="Q46" s="70" t="s">
        <v>8</v>
      </c>
      <c r="R46" s="69"/>
      <c r="S46" s="73" t="s">
        <v>8</v>
      </c>
    </row>
    <row r="47" spans="1:19" x14ac:dyDescent="0.3">
      <c r="A47" s="193"/>
      <c r="B47" s="194"/>
      <c r="C47" s="195"/>
      <c r="E47" s="13">
        <v>56</v>
      </c>
      <c r="F47" s="19">
        <v>0.01</v>
      </c>
      <c r="G47" s="42">
        <f t="shared" ref="G47:G61" si="8">H46*F47</f>
        <v>4.95</v>
      </c>
      <c r="H47" s="42">
        <f t="shared" ref="H47:H61" si="9">H46-G47</f>
        <v>490.05</v>
      </c>
      <c r="I47" s="72">
        <f t="shared" si="6"/>
        <v>794329.68735389959</v>
      </c>
      <c r="J47" s="17">
        <f t="shared" si="7"/>
        <v>363891.582036648</v>
      </c>
      <c r="L47">
        <v>56</v>
      </c>
      <c r="M47" s="70" t="s">
        <v>8</v>
      </c>
      <c r="N47" s="70" t="s">
        <v>8</v>
      </c>
      <c r="O47" s="70" t="s">
        <v>8</v>
      </c>
      <c r="P47" s="70" t="s">
        <v>8</v>
      </c>
      <c r="Q47" s="70" t="s">
        <v>8</v>
      </c>
      <c r="R47" s="69"/>
      <c r="S47" s="73" t="s">
        <v>8</v>
      </c>
    </row>
    <row r="48" spans="1:19" x14ac:dyDescent="0.3">
      <c r="A48" s="193"/>
      <c r="B48" s="194"/>
      <c r="C48" s="195"/>
      <c r="E48" s="13">
        <v>57</v>
      </c>
      <c r="F48" s="19">
        <v>0.01</v>
      </c>
      <c r="G48" s="42">
        <f t="shared" si="8"/>
        <v>4.9005000000000001</v>
      </c>
      <c r="H48" s="42">
        <f t="shared" si="9"/>
        <v>485.14949999999999</v>
      </c>
      <c r="I48" s="72">
        <f t="shared" si="6"/>
        <v>809977.98219477141</v>
      </c>
      <c r="J48" s="17">
        <f t="shared" si="7"/>
        <v>353390.71066930471</v>
      </c>
      <c r="L48">
        <v>57</v>
      </c>
      <c r="M48" s="70" t="s">
        <v>8</v>
      </c>
      <c r="N48" s="70" t="s">
        <v>8</v>
      </c>
      <c r="O48" s="70" t="s">
        <v>8</v>
      </c>
      <c r="P48" s="70" t="s">
        <v>8</v>
      </c>
      <c r="Q48" s="70" t="s">
        <v>8</v>
      </c>
      <c r="R48" s="69"/>
      <c r="S48" s="73" t="s">
        <v>8</v>
      </c>
    </row>
    <row r="49" spans="1:19" x14ac:dyDescent="0.3">
      <c r="A49" s="193"/>
      <c r="B49" s="194"/>
      <c r="C49" s="195"/>
      <c r="E49" s="13">
        <v>58</v>
      </c>
      <c r="F49" s="19">
        <v>0.02</v>
      </c>
      <c r="G49" s="42">
        <f t="shared" si="8"/>
        <v>9.7029899999999998</v>
      </c>
      <c r="H49" s="42">
        <f t="shared" si="9"/>
        <v>475.44650999999999</v>
      </c>
      <c r="I49" s="72">
        <f t="shared" si="6"/>
        <v>1651869.0968880169</v>
      </c>
      <c r="J49" s="17">
        <f t="shared" si="7"/>
        <v>686385.72889426677</v>
      </c>
      <c r="L49">
        <v>58</v>
      </c>
      <c r="M49" s="70" t="s">
        <v>8</v>
      </c>
      <c r="N49" s="70" t="s">
        <v>8</v>
      </c>
      <c r="O49" s="70" t="s">
        <v>8</v>
      </c>
      <c r="P49" s="70" t="s">
        <v>8</v>
      </c>
      <c r="Q49" s="70" t="s">
        <v>8</v>
      </c>
      <c r="R49" s="69"/>
      <c r="S49" s="73" t="s">
        <v>8</v>
      </c>
    </row>
    <row r="50" spans="1:19" x14ac:dyDescent="0.3">
      <c r="A50" s="193"/>
      <c r="B50" s="194"/>
      <c r="C50" s="195"/>
      <c r="E50" s="13">
        <v>59</v>
      </c>
      <c r="F50" s="19">
        <v>0.05</v>
      </c>
      <c r="G50" s="42">
        <f t="shared" si="8"/>
        <v>23.772325500000001</v>
      </c>
      <c r="H50" s="42">
        <f t="shared" si="9"/>
        <v>451.67418449999997</v>
      </c>
      <c r="I50" s="72">
        <f t="shared" si="6"/>
        <v>4168491.665996911</v>
      </c>
      <c r="J50" s="17">
        <f t="shared" si="7"/>
        <v>1649613.7017758877</v>
      </c>
      <c r="L50">
        <v>59</v>
      </c>
      <c r="M50" s="70" t="s">
        <v>8</v>
      </c>
      <c r="N50" s="70" t="s">
        <v>8</v>
      </c>
      <c r="O50" s="70" t="s">
        <v>8</v>
      </c>
      <c r="P50" s="70" t="s">
        <v>8</v>
      </c>
      <c r="Q50" s="70" t="s">
        <v>8</v>
      </c>
      <c r="R50" s="69"/>
      <c r="S50" s="73" t="s">
        <v>8</v>
      </c>
    </row>
    <row r="51" spans="1:19" x14ac:dyDescent="0.3">
      <c r="A51" s="193"/>
      <c r="B51" s="194"/>
      <c r="C51" s="195"/>
      <c r="E51" s="13">
        <v>60</v>
      </c>
      <c r="F51" s="19">
        <v>0.05</v>
      </c>
      <c r="G51" s="42">
        <f t="shared" si="8"/>
        <v>22.583709225</v>
      </c>
      <c r="H51" s="42">
        <f t="shared" si="9"/>
        <v>429.09047527499996</v>
      </c>
      <c r="I51" s="72">
        <f t="shared" si="6"/>
        <v>4078869.0951779764</v>
      </c>
      <c r="J51" s="17">
        <f t="shared" si="7"/>
        <v>1537282.8639882915</v>
      </c>
      <c r="L51">
        <v>60</v>
      </c>
      <c r="M51" s="19">
        <v>0.05</v>
      </c>
      <c r="N51" s="7">
        <f>M51*N41</f>
        <v>75</v>
      </c>
      <c r="O51" s="42">
        <f>N41-N51</f>
        <v>1425</v>
      </c>
      <c r="P51" s="72">
        <f t="shared" ref="P51:P61" si="10">N51*$N$43*(1+$G$6)^(L51-$N$42)</f>
        <v>11250000</v>
      </c>
      <c r="Q51" s="17">
        <f t="shared" ref="Q51:Q61" si="11">P51*(1+$G$5)^-(L51-$N$42)</f>
        <v>11250000</v>
      </c>
      <c r="S51" s="15">
        <f t="shared" ref="S51:S61" si="12">I51+P51</f>
        <v>15328869.095177976</v>
      </c>
    </row>
    <row r="52" spans="1:19" x14ac:dyDescent="0.3">
      <c r="A52" s="193"/>
      <c r="B52" s="194"/>
      <c r="C52" s="195"/>
      <c r="E52" s="13">
        <v>61</v>
      </c>
      <c r="F52" s="19">
        <v>2.5000000000000001E-2</v>
      </c>
      <c r="G52" s="42">
        <f t="shared" si="8"/>
        <v>10.727261881875</v>
      </c>
      <c r="H52" s="42">
        <f t="shared" si="9"/>
        <v>418.36321339312497</v>
      </c>
      <c r="I52" s="72">
        <f t="shared" si="6"/>
        <v>1995586.704815825</v>
      </c>
      <c r="J52" s="17">
        <f t="shared" si="7"/>
        <v>716300.61067263968</v>
      </c>
      <c r="L52">
        <v>61</v>
      </c>
      <c r="M52" s="19">
        <v>2.5000000000000001E-2</v>
      </c>
      <c r="N52" s="42">
        <f t="shared" ref="N52:N61" si="13">O51*M52</f>
        <v>35.625</v>
      </c>
      <c r="O52" s="42">
        <f t="shared" ref="O52:O61" si="14">O51-N52</f>
        <v>1389.375</v>
      </c>
      <c r="P52" s="72">
        <f t="shared" si="10"/>
        <v>5504062.5</v>
      </c>
      <c r="Q52" s="17">
        <f t="shared" si="11"/>
        <v>5241964.2857142854</v>
      </c>
      <c r="S52" s="15">
        <f t="shared" si="12"/>
        <v>7499649.2048158254</v>
      </c>
    </row>
    <row r="53" spans="1:19" x14ac:dyDescent="0.3">
      <c r="A53" s="193"/>
      <c r="B53" s="194"/>
      <c r="C53" s="195"/>
      <c r="E53" s="13">
        <v>62</v>
      </c>
      <c r="F53" s="19">
        <v>0.1</v>
      </c>
      <c r="G53" s="42">
        <f t="shared" si="8"/>
        <v>41.836321339312498</v>
      </c>
      <c r="H53" s="42">
        <f t="shared" si="9"/>
        <v>376.52689205381245</v>
      </c>
      <c r="I53" s="72">
        <f t="shared" si="6"/>
        <v>8016271.7932451693</v>
      </c>
      <c r="J53" s="17">
        <f t="shared" si="7"/>
        <v>2740361.4791161846</v>
      </c>
      <c r="L53">
        <v>62</v>
      </c>
      <c r="M53" s="19">
        <v>0.1</v>
      </c>
      <c r="N53" s="42">
        <f t="shared" si="13"/>
        <v>138.9375</v>
      </c>
      <c r="O53" s="42">
        <f t="shared" si="14"/>
        <v>1250.4375</v>
      </c>
      <c r="P53" s="72">
        <f t="shared" si="10"/>
        <v>22109819.0625</v>
      </c>
      <c r="Q53" s="17">
        <f t="shared" si="11"/>
        <v>20054257.653061222</v>
      </c>
      <c r="S53" s="15">
        <f t="shared" si="12"/>
        <v>30126090.85574517</v>
      </c>
    </row>
    <row r="54" spans="1:19" x14ac:dyDescent="0.3">
      <c r="A54" s="193"/>
      <c r="B54" s="194"/>
      <c r="C54" s="195"/>
      <c r="E54" s="13">
        <v>63</v>
      </c>
      <c r="F54" s="19">
        <v>0.05</v>
      </c>
      <c r="G54" s="42">
        <f t="shared" si="8"/>
        <v>18.826344602690622</v>
      </c>
      <c r="H54" s="42">
        <f t="shared" si="9"/>
        <v>357.70054745112185</v>
      </c>
      <c r="I54" s="72">
        <f t="shared" si="6"/>
        <v>3715541.9761691354</v>
      </c>
      <c r="J54" s="17">
        <f t="shared" si="7"/>
        <v>1209673.8529241439</v>
      </c>
      <c r="L54">
        <v>63</v>
      </c>
      <c r="M54" s="19">
        <v>0.05</v>
      </c>
      <c r="N54" s="42">
        <f t="shared" si="13"/>
        <v>62.521875000000001</v>
      </c>
      <c r="O54" s="42">
        <f t="shared" si="14"/>
        <v>1187.9156250000001</v>
      </c>
      <c r="P54" s="72">
        <f t="shared" si="10"/>
        <v>10247901.135468749</v>
      </c>
      <c r="Q54" s="17">
        <f t="shared" si="11"/>
        <v>8852522.3068513107</v>
      </c>
      <c r="S54" s="15">
        <f t="shared" si="12"/>
        <v>13963443.111637885</v>
      </c>
    </row>
    <row r="55" spans="1:19" x14ac:dyDescent="0.3">
      <c r="A55" s="193"/>
      <c r="B55" s="194"/>
      <c r="C55" s="195"/>
      <c r="E55" s="13">
        <v>64</v>
      </c>
      <c r="F55" s="19">
        <v>0.05</v>
      </c>
      <c r="G55" s="42">
        <f t="shared" si="8"/>
        <v>17.885027372556092</v>
      </c>
      <c r="H55" s="42">
        <f t="shared" si="9"/>
        <v>339.81552007856578</v>
      </c>
      <c r="I55" s="72">
        <f t="shared" si="6"/>
        <v>3635657.8236814989</v>
      </c>
      <c r="J55" s="17">
        <f t="shared" si="7"/>
        <v>1127300.8238916905</v>
      </c>
      <c r="L55">
        <v>64</v>
      </c>
      <c r="M55" s="19">
        <v>0.05</v>
      </c>
      <c r="N55" s="42">
        <f t="shared" si="13"/>
        <v>59.395781250000006</v>
      </c>
      <c r="O55" s="42">
        <f t="shared" si="14"/>
        <v>1128.5198437500001</v>
      </c>
      <c r="P55" s="72">
        <f t="shared" si="10"/>
        <v>10027571.261056172</v>
      </c>
      <c r="Q55" s="17">
        <f t="shared" si="11"/>
        <v>8249707.6926228656</v>
      </c>
      <c r="S55" s="15">
        <f t="shared" si="12"/>
        <v>13663229.08473767</v>
      </c>
    </row>
    <row r="56" spans="1:19" x14ac:dyDescent="0.3">
      <c r="A56" s="193"/>
      <c r="B56" s="194"/>
      <c r="C56" s="195"/>
      <c r="E56" s="13">
        <v>65</v>
      </c>
      <c r="F56" s="19">
        <v>0.5</v>
      </c>
      <c r="G56" s="42">
        <f t="shared" si="8"/>
        <v>169.90776003928289</v>
      </c>
      <c r="H56" s="42">
        <f t="shared" si="9"/>
        <v>169.90776003928289</v>
      </c>
      <c r="I56" s="72">
        <f t="shared" si="6"/>
        <v>35574911.804723471</v>
      </c>
      <c r="J56" s="17">
        <f t="shared" si="7"/>
        <v>10505370.058838276</v>
      </c>
      <c r="L56">
        <v>65</v>
      </c>
      <c r="M56" s="19">
        <v>0.5</v>
      </c>
      <c r="N56" s="42">
        <f t="shared" si="13"/>
        <v>564.25992187500003</v>
      </c>
      <c r="O56" s="42">
        <f t="shared" si="14"/>
        <v>564.25992187500003</v>
      </c>
      <c r="P56" s="72">
        <f t="shared" si="10"/>
        <v>98119784.789434627</v>
      </c>
      <c r="Q56" s="17">
        <f t="shared" si="11"/>
        <v>76879418.830775917</v>
      </c>
      <c r="S56" s="15">
        <f t="shared" si="12"/>
        <v>133694696.5941581</v>
      </c>
    </row>
    <row r="57" spans="1:19" x14ac:dyDescent="0.3">
      <c r="A57" s="193"/>
      <c r="B57" s="194"/>
      <c r="C57" s="195"/>
      <c r="E57" s="13">
        <v>66</v>
      </c>
      <c r="F57" s="19">
        <v>0.25</v>
      </c>
      <c r="G57" s="42">
        <f t="shared" si="8"/>
        <v>42.476940009820723</v>
      </c>
      <c r="H57" s="42">
        <f t="shared" si="9"/>
        <v>127.43082002946217</v>
      </c>
      <c r="I57" s="72">
        <f t="shared" si="6"/>
        <v>9160539.789716294</v>
      </c>
      <c r="J57" s="17">
        <f t="shared" si="7"/>
        <v>2576316.9430008153</v>
      </c>
      <c r="L57">
        <v>66</v>
      </c>
      <c r="M57" s="19">
        <v>0.25</v>
      </c>
      <c r="N57" s="42">
        <f t="shared" si="13"/>
        <v>141.06498046875001</v>
      </c>
      <c r="O57" s="42">
        <f t="shared" si="14"/>
        <v>423.19494140625</v>
      </c>
      <c r="P57" s="72">
        <f t="shared" si="10"/>
        <v>25265844.58327942</v>
      </c>
      <c r="Q57" s="17">
        <f t="shared" si="11"/>
        <v>18853762.237071242</v>
      </c>
      <c r="S57" s="15">
        <f t="shared" si="12"/>
        <v>34426384.372995712</v>
      </c>
    </row>
    <row r="58" spans="1:19" x14ac:dyDescent="0.3">
      <c r="A58" s="193"/>
      <c r="B58" s="194"/>
      <c r="C58" s="195"/>
      <c r="E58" s="13">
        <v>67</v>
      </c>
      <c r="F58" s="19">
        <v>0.25</v>
      </c>
      <c r="G58" s="42">
        <f t="shared" si="8"/>
        <v>31.857705007365542</v>
      </c>
      <c r="H58" s="42">
        <f t="shared" si="9"/>
        <v>95.57311502209663</v>
      </c>
      <c r="I58" s="72">
        <f t="shared" si="6"/>
        <v>7076516.9875558363</v>
      </c>
      <c r="J58" s="17">
        <f t="shared" si="7"/>
        <v>1895433.1794934568</v>
      </c>
      <c r="L58">
        <v>67</v>
      </c>
      <c r="M58" s="19">
        <v>0.25</v>
      </c>
      <c r="N58" s="42">
        <f t="shared" si="13"/>
        <v>105.7987353515625</v>
      </c>
      <c r="O58" s="42">
        <f t="shared" si="14"/>
        <v>317.39620605468747</v>
      </c>
      <c r="P58" s="72">
        <f t="shared" si="10"/>
        <v>19517864.940583352</v>
      </c>
      <c r="Q58" s="17">
        <f t="shared" si="11"/>
        <v>13870982.217273841</v>
      </c>
      <c r="S58" s="15">
        <f t="shared" si="12"/>
        <v>26594381.928139187</v>
      </c>
    </row>
    <row r="59" spans="1:19" x14ac:dyDescent="0.3">
      <c r="A59" s="193"/>
      <c r="B59" s="194"/>
      <c r="C59" s="195"/>
      <c r="E59" s="13">
        <v>68</v>
      </c>
      <c r="F59" s="19">
        <v>0.25</v>
      </c>
      <c r="G59" s="42">
        <f t="shared" si="8"/>
        <v>23.893278755524157</v>
      </c>
      <c r="H59" s="42">
        <f t="shared" si="9"/>
        <v>71.679836266572465</v>
      </c>
      <c r="I59" s="72">
        <f t="shared" si="6"/>
        <v>5466609.372886884</v>
      </c>
      <c r="J59" s="17">
        <f t="shared" si="7"/>
        <v>1394497.2677701865</v>
      </c>
      <c r="L59">
        <v>68</v>
      </c>
      <c r="M59" s="19">
        <v>0.25</v>
      </c>
      <c r="N59" s="42">
        <f t="shared" si="13"/>
        <v>79.349051513671867</v>
      </c>
      <c r="O59" s="42">
        <f t="shared" si="14"/>
        <v>238.0471545410156</v>
      </c>
      <c r="P59" s="72">
        <f t="shared" si="10"/>
        <v>15077550.666600635</v>
      </c>
      <c r="Q59" s="17">
        <f t="shared" si="11"/>
        <v>10205079.774137182</v>
      </c>
      <c r="S59" s="15">
        <f t="shared" si="12"/>
        <v>20544160.039487518</v>
      </c>
    </row>
    <row r="60" spans="1:19" x14ac:dyDescent="0.3">
      <c r="A60" s="193"/>
      <c r="B60" s="194"/>
      <c r="C60" s="195"/>
      <c r="E60" s="13">
        <v>69</v>
      </c>
      <c r="F60" s="19">
        <v>0.25</v>
      </c>
      <c r="G60" s="42">
        <f t="shared" si="8"/>
        <v>17.919959066643116</v>
      </c>
      <c r="H60" s="42">
        <f t="shared" si="9"/>
        <v>53.759877199929349</v>
      </c>
      <c r="I60" s="72">
        <f t="shared" si="6"/>
        <v>4222955.7405551169</v>
      </c>
      <c r="J60" s="17">
        <f t="shared" si="7"/>
        <v>1025951.5612880653</v>
      </c>
      <c r="L60">
        <v>69</v>
      </c>
      <c r="M60" s="19">
        <v>0.25</v>
      </c>
      <c r="N60" s="42">
        <f t="shared" si="13"/>
        <v>59.5117886352539</v>
      </c>
      <c r="O60" s="42">
        <f t="shared" si="14"/>
        <v>178.53536590576169</v>
      </c>
      <c r="P60" s="72">
        <f t="shared" si="10"/>
        <v>11647407.889948992</v>
      </c>
      <c r="Q60" s="17">
        <f t="shared" si="11"/>
        <v>7508022.9766866406</v>
      </c>
      <c r="S60" s="15">
        <f t="shared" si="12"/>
        <v>15870363.630504109</v>
      </c>
    </row>
    <row r="61" spans="1:19" x14ac:dyDescent="0.3">
      <c r="A61" s="193"/>
      <c r="B61" s="194"/>
      <c r="C61" s="195"/>
      <c r="E61" s="13">
        <v>70</v>
      </c>
      <c r="F61" s="19">
        <v>1</v>
      </c>
      <c r="G61" s="42">
        <f t="shared" si="8"/>
        <v>53.759877199929349</v>
      </c>
      <c r="H61" s="42">
        <f t="shared" si="9"/>
        <v>0</v>
      </c>
      <c r="I61" s="72">
        <f t="shared" si="6"/>
        <v>13048933.238315312</v>
      </c>
      <c r="J61" s="17">
        <f t="shared" si="7"/>
        <v>3019228.8803620217</v>
      </c>
      <c r="L61">
        <v>70</v>
      </c>
      <c r="M61" s="19">
        <v>1</v>
      </c>
      <c r="N61" s="42">
        <f t="shared" si="13"/>
        <v>178.53536590576169</v>
      </c>
      <c r="O61" s="42">
        <f t="shared" si="14"/>
        <v>0</v>
      </c>
      <c r="P61" s="72">
        <f t="shared" si="10"/>
        <v>35990490.37994238</v>
      </c>
      <c r="Q61" s="17">
        <f t="shared" si="11"/>
        <v>22095039.045677826</v>
      </c>
      <c r="S61" s="15">
        <f t="shared" si="12"/>
        <v>49039423.618257694</v>
      </c>
    </row>
    <row r="62" spans="1:19" x14ac:dyDescent="0.3">
      <c r="A62" s="193"/>
      <c r="B62" s="194"/>
      <c r="C62" s="195"/>
      <c r="E62" s="13" t="s">
        <v>68</v>
      </c>
      <c r="G62" s="42">
        <f>SUM(G46:G61)</f>
        <v>500</v>
      </c>
      <c r="N62" s="42">
        <f>SUM(N46:N61)</f>
        <v>1500</v>
      </c>
      <c r="S62" s="14"/>
    </row>
    <row r="63" spans="1:19" x14ac:dyDescent="0.3">
      <c r="A63" s="196"/>
      <c r="B63" s="197"/>
      <c r="C63" s="198"/>
      <c r="E63" s="22" t="s">
        <v>67</v>
      </c>
      <c r="F63" s="23"/>
      <c r="G63" s="23"/>
      <c r="H63" s="23"/>
      <c r="I63" s="23"/>
      <c r="J63" s="67">
        <f>SUM(J46:J61)</f>
        <v>31175703.727548674</v>
      </c>
      <c r="K63" s="23"/>
      <c r="L63" s="23"/>
      <c r="M63" s="23"/>
      <c r="N63" s="23"/>
      <c r="O63" s="23"/>
      <c r="P63" s="23"/>
      <c r="Q63" s="67">
        <f>SUM(Q46:Q61)</f>
        <v>203060757.01987231</v>
      </c>
      <c r="R63" s="23"/>
      <c r="S63" s="66">
        <f>J63+Q63</f>
        <v>234236460.74742097</v>
      </c>
    </row>
    <row r="67" spans="1:19" x14ac:dyDescent="0.3">
      <c r="E67" s="4" t="s">
        <v>11</v>
      </c>
    </row>
    <row r="68" spans="1:19" x14ac:dyDescent="0.3">
      <c r="E68" s="30"/>
      <c r="F68" s="11"/>
      <c r="G68" s="11"/>
      <c r="H68" s="11"/>
      <c r="I68" s="11"/>
      <c r="J68" s="11"/>
      <c r="K68" s="11"/>
      <c r="L68" s="11"/>
      <c r="M68" s="11"/>
      <c r="N68" s="11"/>
      <c r="O68" s="11"/>
      <c r="P68" s="11"/>
      <c r="Q68" s="11"/>
      <c r="R68" s="11"/>
      <c r="S68" s="12"/>
    </row>
    <row r="69" spans="1:19" x14ac:dyDescent="0.3">
      <c r="E69" s="13"/>
      <c r="F69" s="4" t="s">
        <v>76</v>
      </c>
      <c r="M69" s="4" t="s">
        <v>75</v>
      </c>
      <c r="S69" s="14"/>
    </row>
    <row r="70" spans="1:19" x14ac:dyDescent="0.3">
      <c r="E70" s="13"/>
      <c r="F70" t="s">
        <v>74</v>
      </c>
      <c r="G70">
        <v>50</v>
      </c>
      <c r="M70" t="s">
        <v>74</v>
      </c>
      <c r="N70" s="17">
        <v>150</v>
      </c>
      <c r="S70" s="14"/>
    </row>
    <row r="71" spans="1:19" x14ac:dyDescent="0.3">
      <c r="E71" s="13"/>
      <c r="F71" t="s">
        <v>3</v>
      </c>
      <c r="G71">
        <v>40</v>
      </c>
      <c r="M71" t="s">
        <v>3</v>
      </c>
      <c r="N71">
        <v>60</v>
      </c>
      <c r="S71" s="14"/>
    </row>
    <row r="72" spans="1:19" x14ac:dyDescent="0.3">
      <c r="E72" s="13"/>
      <c r="F72" t="s">
        <v>73</v>
      </c>
      <c r="G72" s="17">
        <v>400</v>
      </c>
      <c r="M72" t="s">
        <v>73</v>
      </c>
      <c r="N72" s="17">
        <v>2000</v>
      </c>
      <c r="S72" s="14"/>
    </row>
    <row r="73" spans="1:19" x14ac:dyDescent="0.3">
      <c r="E73" s="13"/>
      <c r="S73" s="14"/>
    </row>
    <row r="74" spans="1:19" ht="43.2" x14ac:dyDescent="0.3">
      <c r="A74" s="52" t="s">
        <v>3</v>
      </c>
      <c r="B74" s="52" t="s">
        <v>61</v>
      </c>
      <c r="C74" s="52"/>
      <c r="E74" s="71" t="s">
        <v>3</v>
      </c>
      <c r="F74" s="52" t="s">
        <v>65</v>
      </c>
      <c r="G74" s="52" t="s">
        <v>72</v>
      </c>
      <c r="H74" s="52" t="s">
        <v>71</v>
      </c>
      <c r="I74" s="52" t="s">
        <v>70</v>
      </c>
      <c r="L74" s="52" t="s">
        <v>3</v>
      </c>
      <c r="M74" s="52" t="s">
        <v>65</v>
      </c>
      <c r="N74" s="52" t="s">
        <v>72</v>
      </c>
      <c r="O74" s="52" t="s">
        <v>71</v>
      </c>
      <c r="P74" s="52" t="s">
        <v>70</v>
      </c>
      <c r="S74" s="37" t="s">
        <v>69</v>
      </c>
    </row>
    <row r="75" spans="1:19" x14ac:dyDescent="0.3">
      <c r="A75">
        <v>55</v>
      </c>
      <c r="B75" s="60">
        <v>0.61</v>
      </c>
      <c r="C75" s="60">
        <v>15.24</v>
      </c>
      <c r="E75" s="13">
        <v>55</v>
      </c>
      <c r="F75" s="19">
        <v>0.01</v>
      </c>
      <c r="G75" s="42">
        <f>G70*F75</f>
        <v>0.5</v>
      </c>
      <c r="H75" s="42">
        <f>G70-G75</f>
        <v>49.5</v>
      </c>
      <c r="I75" s="17">
        <f t="shared" ref="I75:I90" si="15">G75*G$72*12*B75*C75*(1+G$5)^-(E75-G$71)</f>
        <v>10732.14564166295</v>
      </c>
      <c r="L75">
        <v>55</v>
      </c>
      <c r="M75" s="70" t="s">
        <v>8</v>
      </c>
      <c r="N75" s="70" t="s">
        <v>8</v>
      </c>
      <c r="O75" s="70" t="s">
        <v>8</v>
      </c>
      <c r="P75" s="70" t="s">
        <v>8</v>
      </c>
      <c r="Q75" s="69"/>
      <c r="S75" s="68"/>
    </row>
    <row r="76" spans="1:19" x14ac:dyDescent="0.3">
      <c r="A76">
        <v>56</v>
      </c>
      <c r="B76" s="60">
        <v>0.66</v>
      </c>
      <c r="C76" s="60">
        <v>15</v>
      </c>
      <c r="E76" s="13">
        <v>56</v>
      </c>
      <c r="F76" s="19">
        <v>0.01</v>
      </c>
      <c r="G76" s="42">
        <f t="shared" ref="G76:G90" si="16">H75*F76</f>
        <v>0.495</v>
      </c>
      <c r="H76" s="42">
        <f t="shared" ref="H76:H90" si="17">H75-G76</f>
        <v>49.005000000000003</v>
      </c>
      <c r="I76" s="17">
        <f t="shared" si="15"/>
        <v>10775.882464890512</v>
      </c>
      <c r="L76">
        <v>56</v>
      </c>
      <c r="M76" s="70" t="s">
        <v>8</v>
      </c>
      <c r="N76" s="70" t="s">
        <v>8</v>
      </c>
      <c r="O76" s="70" t="s">
        <v>8</v>
      </c>
      <c r="P76" s="70" t="s">
        <v>8</v>
      </c>
      <c r="Q76" s="69"/>
      <c r="S76" s="68"/>
    </row>
    <row r="77" spans="1:19" x14ac:dyDescent="0.3">
      <c r="A77">
        <v>57</v>
      </c>
      <c r="B77" s="60">
        <v>0.7</v>
      </c>
      <c r="C77" s="60">
        <v>14.75</v>
      </c>
      <c r="E77" s="13">
        <v>57</v>
      </c>
      <c r="F77" s="19">
        <v>0.01</v>
      </c>
      <c r="G77" s="42">
        <f t="shared" si="16"/>
        <v>0.49005000000000004</v>
      </c>
      <c r="H77" s="42">
        <f t="shared" si="17"/>
        <v>48.514950000000006</v>
      </c>
      <c r="I77" s="17">
        <f t="shared" si="15"/>
        <v>10596.284423809002</v>
      </c>
      <c r="L77">
        <v>57</v>
      </c>
      <c r="M77" s="70" t="s">
        <v>8</v>
      </c>
      <c r="N77" s="70" t="s">
        <v>8</v>
      </c>
      <c r="O77" s="70" t="s">
        <v>8</v>
      </c>
      <c r="P77" s="70" t="s">
        <v>8</v>
      </c>
      <c r="Q77" s="69"/>
      <c r="S77" s="68"/>
    </row>
    <row r="78" spans="1:19" x14ac:dyDescent="0.3">
      <c r="A78">
        <v>58</v>
      </c>
      <c r="B78" s="60">
        <v>0.75</v>
      </c>
      <c r="C78" s="60">
        <v>14.5</v>
      </c>
      <c r="E78" s="13">
        <v>58</v>
      </c>
      <c r="F78" s="19">
        <v>0.02</v>
      </c>
      <c r="G78" s="42">
        <f t="shared" si="16"/>
        <v>0.97029900000000013</v>
      </c>
      <c r="H78" s="42">
        <f t="shared" si="17"/>
        <v>47.544651000000009</v>
      </c>
      <c r="I78" s="17">
        <f t="shared" si="15"/>
        <v>21045.958201837188</v>
      </c>
      <c r="L78">
        <v>58</v>
      </c>
      <c r="M78" s="70" t="s">
        <v>8</v>
      </c>
      <c r="N78" s="70" t="s">
        <v>8</v>
      </c>
      <c r="O78" s="70" t="s">
        <v>8</v>
      </c>
      <c r="P78" s="70" t="s">
        <v>8</v>
      </c>
      <c r="Q78" s="69"/>
      <c r="S78" s="68"/>
    </row>
    <row r="79" spans="1:19" x14ac:dyDescent="0.3">
      <c r="A79">
        <v>59</v>
      </c>
      <c r="B79" s="60">
        <v>0.8</v>
      </c>
      <c r="C79" s="60">
        <v>14.24</v>
      </c>
      <c r="E79" s="13">
        <v>59</v>
      </c>
      <c r="F79" s="19">
        <v>0.05</v>
      </c>
      <c r="G79" s="42">
        <f t="shared" si="16"/>
        <v>2.3772325500000004</v>
      </c>
      <c r="H79" s="42">
        <f t="shared" si="17"/>
        <v>45.167418450000007</v>
      </c>
      <c r="I79" s="17">
        <f t="shared" si="15"/>
        <v>51441.805083442276</v>
      </c>
      <c r="L79">
        <v>59</v>
      </c>
      <c r="M79" s="70" t="s">
        <v>8</v>
      </c>
      <c r="N79" s="70" t="s">
        <v>8</v>
      </c>
      <c r="O79" s="70" t="s">
        <v>8</v>
      </c>
      <c r="P79" s="70" t="s">
        <v>8</v>
      </c>
      <c r="Q79" s="69"/>
      <c r="S79" s="68"/>
    </row>
    <row r="80" spans="1:19" x14ac:dyDescent="0.3">
      <c r="A80">
        <v>60</v>
      </c>
      <c r="B80" s="60">
        <v>0.86</v>
      </c>
      <c r="C80" s="60">
        <v>13.97</v>
      </c>
      <c r="E80" s="13">
        <v>60</v>
      </c>
      <c r="F80" s="19">
        <v>0.05</v>
      </c>
      <c r="G80" s="42">
        <f t="shared" si="16"/>
        <v>2.2583709225000006</v>
      </c>
      <c r="H80" s="42">
        <f t="shared" si="17"/>
        <v>42.909047527500007</v>
      </c>
      <c r="I80" s="17">
        <f t="shared" si="15"/>
        <v>49084.614759047108</v>
      </c>
      <c r="L80">
        <v>60</v>
      </c>
      <c r="M80" s="19">
        <v>0.05</v>
      </c>
      <c r="N80" s="42">
        <f>M80*N70</f>
        <v>7.5</v>
      </c>
      <c r="O80" s="42">
        <f>N70-N80</f>
        <v>142.5</v>
      </c>
      <c r="P80" s="17">
        <f t="shared" ref="P80:P90" si="18">N80*N$72*12*B80*C80*(1+G$5)^-(L80-N$71)</f>
        <v>2162556</v>
      </c>
      <c r="S80" s="15"/>
    </row>
    <row r="81" spans="1:19" x14ac:dyDescent="0.3">
      <c r="A81">
        <v>61</v>
      </c>
      <c r="B81" s="60">
        <v>0.93</v>
      </c>
      <c r="C81" s="60">
        <v>13.7</v>
      </c>
      <c r="E81" s="13">
        <v>61</v>
      </c>
      <c r="F81" s="19">
        <v>2.5000000000000001E-2</v>
      </c>
      <c r="G81" s="42">
        <f t="shared" si="16"/>
        <v>1.0727261881875003</v>
      </c>
      <c r="H81" s="42">
        <f t="shared" si="17"/>
        <v>41.836321339312505</v>
      </c>
      <c r="I81" s="17">
        <f t="shared" si="15"/>
        <v>23548.234700555458</v>
      </c>
      <c r="L81">
        <v>61</v>
      </c>
      <c r="M81" s="19">
        <v>2.5000000000000001E-2</v>
      </c>
      <c r="N81" s="42">
        <f t="shared" ref="N81:N90" si="19">O80*M81</f>
        <v>3.5625</v>
      </c>
      <c r="O81" s="42">
        <f t="shared" ref="O81:O90" si="20">O80-N81</f>
        <v>138.9375</v>
      </c>
      <c r="P81" s="17">
        <f t="shared" si="18"/>
        <v>1037481.4285714285</v>
      </c>
      <c r="S81" s="15"/>
    </row>
    <row r="82" spans="1:19" x14ac:dyDescent="0.3">
      <c r="A82">
        <v>62</v>
      </c>
      <c r="B82" s="60">
        <v>1</v>
      </c>
      <c r="C82" s="60">
        <v>13.41</v>
      </c>
      <c r="E82" s="13">
        <v>62</v>
      </c>
      <c r="F82" s="19">
        <v>0.1</v>
      </c>
      <c r="G82" s="42">
        <f t="shared" si="16"/>
        <v>4.1836321339312503</v>
      </c>
      <c r="H82" s="42">
        <f t="shared" si="17"/>
        <v>37.652689205381257</v>
      </c>
      <c r="I82" s="17">
        <f t="shared" si="15"/>
        <v>92057.446833010035</v>
      </c>
      <c r="L82">
        <v>62</v>
      </c>
      <c r="M82" s="19">
        <v>0.1</v>
      </c>
      <c r="N82" s="42">
        <f t="shared" si="19"/>
        <v>13.893750000000001</v>
      </c>
      <c r="O82" s="42">
        <f t="shared" si="20"/>
        <v>125.04375</v>
      </c>
      <c r="P82" s="17">
        <f t="shared" si="18"/>
        <v>4055840.8163265302</v>
      </c>
      <c r="S82" s="15"/>
    </row>
    <row r="83" spans="1:19" x14ac:dyDescent="0.3">
      <c r="A83">
        <v>63</v>
      </c>
      <c r="B83" s="60">
        <v>1</v>
      </c>
      <c r="C83" s="60">
        <v>13.13</v>
      </c>
      <c r="E83" s="13">
        <v>63</v>
      </c>
      <c r="F83" s="19">
        <v>0.05</v>
      </c>
      <c r="G83" s="42">
        <f t="shared" si="16"/>
        <v>1.882634460269063</v>
      </c>
      <c r="H83" s="42">
        <f t="shared" si="17"/>
        <v>35.770054745112198</v>
      </c>
      <c r="I83" s="17">
        <f t="shared" si="15"/>
        <v>38629.411215002292</v>
      </c>
      <c r="L83">
        <v>63</v>
      </c>
      <c r="M83" s="19">
        <v>0.05</v>
      </c>
      <c r="N83" s="42">
        <f t="shared" si="19"/>
        <v>6.2521875000000007</v>
      </c>
      <c r="O83" s="42">
        <f t="shared" si="20"/>
        <v>118.7915625</v>
      </c>
      <c r="P83" s="17">
        <f t="shared" si="18"/>
        <v>1701923.61516035</v>
      </c>
      <c r="S83" s="15"/>
    </row>
    <row r="84" spans="1:19" x14ac:dyDescent="0.3">
      <c r="A84">
        <v>64</v>
      </c>
      <c r="B84" s="60">
        <v>1</v>
      </c>
      <c r="C84" s="60">
        <v>12.83</v>
      </c>
      <c r="E84" s="13">
        <v>64</v>
      </c>
      <c r="F84" s="19">
        <v>0.05</v>
      </c>
      <c r="G84" s="42">
        <f t="shared" si="16"/>
        <v>1.7885027372556099</v>
      </c>
      <c r="H84" s="42">
        <f t="shared" si="17"/>
        <v>33.981552007856585</v>
      </c>
      <c r="I84" s="17">
        <f t="shared" si="15"/>
        <v>34151.857149679432</v>
      </c>
      <c r="L84">
        <v>64</v>
      </c>
      <c r="M84" s="19">
        <v>0.05</v>
      </c>
      <c r="N84" s="42">
        <f t="shared" si="19"/>
        <v>5.9395781250000006</v>
      </c>
      <c r="O84" s="42">
        <f t="shared" si="20"/>
        <v>112.851984375</v>
      </c>
      <c r="P84" s="17">
        <f t="shared" si="18"/>
        <v>1504652.8113286134</v>
      </c>
      <c r="S84" s="15"/>
    </row>
    <row r="85" spans="1:19" x14ac:dyDescent="0.3">
      <c r="A85">
        <v>65</v>
      </c>
      <c r="B85" s="60">
        <v>1</v>
      </c>
      <c r="C85" s="60">
        <v>12.53</v>
      </c>
      <c r="E85" s="13">
        <v>65</v>
      </c>
      <c r="F85" s="19">
        <v>0.5</v>
      </c>
      <c r="G85" s="42">
        <f t="shared" si="16"/>
        <v>16.990776003928293</v>
      </c>
      <c r="H85" s="42">
        <f t="shared" si="17"/>
        <v>16.990776003928293</v>
      </c>
      <c r="I85" s="17">
        <f t="shared" si="15"/>
        <v>301767.90378295589</v>
      </c>
      <c r="L85">
        <v>65</v>
      </c>
      <c r="M85" s="19">
        <v>0.5</v>
      </c>
      <c r="N85" s="42">
        <f t="shared" si="19"/>
        <v>56.4259921875</v>
      </c>
      <c r="O85" s="42">
        <f t="shared" si="20"/>
        <v>56.4259921875</v>
      </c>
      <c r="P85" s="17">
        <f t="shared" si="18"/>
        <v>13295204.49812578</v>
      </c>
      <c r="S85" s="15"/>
    </row>
    <row r="86" spans="1:19" x14ac:dyDescent="0.3">
      <c r="A86">
        <v>66</v>
      </c>
      <c r="B86" s="60">
        <v>1.08</v>
      </c>
      <c r="C86" s="60">
        <v>12.23</v>
      </c>
      <c r="E86" s="13">
        <v>66</v>
      </c>
      <c r="F86" s="19">
        <v>0.25</v>
      </c>
      <c r="G86" s="42">
        <f t="shared" si="16"/>
        <v>4.2476940009820732</v>
      </c>
      <c r="H86" s="42">
        <f t="shared" si="17"/>
        <v>12.74308200294622</v>
      </c>
      <c r="I86" s="17">
        <f t="shared" si="15"/>
        <v>75739.58082177621</v>
      </c>
      <c r="L86">
        <v>66</v>
      </c>
      <c r="M86" s="19">
        <v>0.25</v>
      </c>
      <c r="N86" s="42">
        <f t="shared" si="19"/>
        <v>14.106498046875</v>
      </c>
      <c r="O86" s="42">
        <f t="shared" si="20"/>
        <v>42.319494140624997</v>
      </c>
      <c r="P86" s="17">
        <f t="shared" si="18"/>
        <v>3336912.9155368935</v>
      </c>
      <c r="S86" s="15"/>
    </row>
    <row r="87" spans="1:19" x14ac:dyDescent="0.3">
      <c r="A87">
        <v>67</v>
      </c>
      <c r="B87" s="60">
        <v>1.18</v>
      </c>
      <c r="C87" s="60">
        <v>11.92</v>
      </c>
      <c r="E87" s="13">
        <v>67</v>
      </c>
      <c r="F87" s="19">
        <v>0.25</v>
      </c>
      <c r="G87" s="42">
        <f t="shared" si="16"/>
        <v>3.1857705007365551</v>
      </c>
      <c r="H87" s="42">
        <f t="shared" si="17"/>
        <v>9.5573115022096644</v>
      </c>
      <c r="I87" s="17">
        <f t="shared" si="15"/>
        <v>57610.668103348486</v>
      </c>
      <c r="L87">
        <v>67</v>
      </c>
      <c r="M87" s="19">
        <v>0.25</v>
      </c>
      <c r="N87" s="42">
        <f t="shared" si="19"/>
        <v>10.579873535156249</v>
      </c>
      <c r="O87" s="42">
        <f t="shared" si="20"/>
        <v>31.739620605468748</v>
      </c>
      <c r="P87" s="17">
        <f t="shared" si="18"/>
        <v>2538194.4338870784</v>
      </c>
      <c r="S87" s="15"/>
    </row>
    <row r="88" spans="1:19" x14ac:dyDescent="0.3">
      <c r="A88">
        <v>68</v>
      </c>
      <c r="B88" s="60">
        <v>1.28</v>
      </c>
      <c r="C88" s="60">
        <v>11.59</v>
      </c>
      <c r="E88" s="13">
        <v>68</v>
      </c>
      <c r="F88" s="19">
        <v>0.25</v>
      </c>
      <c r="G88" s="42">
        <f t="shared" si="16"/>
        <v>2.3893278755524161</v>
      </c>
      <c r="H88" s="42">
        <f t="shared" si="17"/>
        <v>7.1679836266572483</v>
      </c>
      <c r="I88" s="17">
        <f t="shared" si="15"/>
        <v>43402.027613813429</v>
      </c>
      <c r="L88">
        <v>68</v>
      </c>
      <c r="M88" s="19">
        <v>0.25</v>
      </c>
      <c r="N88" s="42">
        <f t="shared" si="19"/>
        <v>7.9349051513671869</v>
      </c>
      <c r="O88" s="42">
        <f t="shared" si="20"/>
        <v>23.804715454101562</v>
      </c>
      <c r="P88" s="17">
        <f t="shared" si="18"/>
        <v>1912194.1913808761</v>
      </c>
      <c r="S88" s="15"/>
    </row>
    <row r="89" spans="1:19" x14ac:dyDescent="0.3">
      <c r="A89">
        <v>69</v>
      </c>
      <c r="B89" s="60">
        <v>1.4</v>
      </c>
      <c r="C89" s="60">
        <v>11.27</v>
      </c>
      <c r="E89" s="13">
        <v>69</v>
      </c>
      <c r="F89" s="19">
        <v>0.25</v>
      </c>
      <c r="G89" s="42">
        <f t="shared" si="16"/>
        <v>1.7919959066643121</v>
      </c>
      <c r="H89" s="42">
        <f t="shared" si="17"/>
        <v>5.3759877199929367</v>
      </c>
      <c r="I89" s="17">
        <f t="shared" si="15"/>
        <v>32971.638481967013</v>
      </c>
      <c r="L89">
        <v>69</v>
      </c>
      <c r="M89" s="19">
        <v>0.25</v>
      </c>
      <c r="N89" s="42">
        <f t="shared" si="19"/>
        <v>5.9511788635253904</v>
      </c>
      <c r="O89" s="42">
        <f t="shared" si="20"/>
        <v>17.853536590576169</v>
      </c>
      <c r="P89" s="17">
        <f t="shared" si="18"/>
        <v>1452655.0728579643</v>
      </c>
      <c r="S89" s="15"/>
    </row>
    <row r="90" spans="1:19" x14ac:dyDescent="0.3">
      <c r="A90">
        <v>70</v>
      </c>
      <c r="B90" s="60">
        <v>1.53</v>
      </c>
      <c r="C90" s="60">
        <v>10.93</v>
      </c>
      <c r="E90" s="13">
        <v>70</v>
      </c>
      <c r="F90" s="19">
        <v>1</v>
      </c>
      <c r="G90" s="42">
        <f t="shared" si="16"/>
        <v>5.3759877199929367</v>
      </c>
      <c r="H90" s="42">
        <f t="shared" si="17"/>
        <v>0</v>
      </c>
      <c r="I90" s="17">
        <f t="shared" si="15"/>
        <v>99846.334529106811</v>
      </c>
      <c r="L90">
        <v>70</v>
      </c>
      <c r="M90" s="19">
        <v>1</v>
      </c>
      <c r="N90" s="42">
        <f t="shared" si="19"/>
        <v>17.853536590576169</v>
      </c>
      <c r="O90" s="42">
        <f t="shared" si="20"/>
        <v>0</v>
      </c>
      <c r="P90" s="17">
        <f t="shared" si="18"/>
        <v>4399001.4156957148</v>
      </c>
      <c r="S90" s="15"/>
    </row>
    <row r="91" spans="1:19" x14ac:dyDescent="0.3">
      <c r="E91" s="13" t="s">
        <v>68</v>
      </c>
      <c r="G91" s="42">
        <f>SUM(G75:G90)</f>
        <v>50.000000000000007</v>
      </c>
      <c r="N91" s="42">
        <f>SUM(N75:N90)</f>
        <v>150</v>
      </c>
      <c r="S91" s="14"/>
    </row>
    <row r="92" spans="1:19" x14ac:dyDescent="0.3">
      <c r="E92" s="22" t="s">
        <v>67</v>
      </c>
      <c r="F92" s="23"/>
      <c r="G92" s="23"/>
      <c r="H92" s="23"/>
      <c r="I92" s="67">
        <f>SUM(I75:I90)</f>
        <v>953401.7938059041</v>
      </c>
      <c r="J92" s="23"/>
      <c r="K92" s="23"/>
      <c r="L92" s="23"/>
      <c r="M92" s="23"/>
      <c r="N92" s="23"/>
      <c r="O92" s="23"/>
      <c r="P92" s="67">
        <f>SUM(P75:P90)</f>
        <v>37396617.198871233</v>
      </c>
      <c r="Q92" s="23"/>
      <c r="R92" s="23"/>
      <c r="S92" s="66">
        <f>I92+P92</f>
        <v>38350018.992677137</v>
      </c>
    </row>
    <row r="96" spans="1:19" x14ac:dyDescent="0.3">
      <c r="A96" s="4" t="s">
        <v>79</v>
      </c>
      <c r="E96" s="4" t="s">
        <v>78</v>
      </c>
    </row>
    <row r="97" spans="1:19" x14ac:dyDescent="0.3">
      <c r="A97" s="188" t="s">
        <v>77</v>
      </c>
      <c r="B97" s="199"/>
      <c r="C97" s="199"/>
      <c r="E97" s="30"/>
      <c r="F97" s="11"/>
      <c r="G97" s="11"/>
      <c r="H97" s="11"/>
      <c r="I97" s="11"/>
      <c r="J97" s="11"/>
      <c r="K97" s="11"/>
      <c r="L97" s="11"/>
      <c r="M97" s="11"/>
      <c r="N97" s="11"/>
      <c r="O97" s="11"/>
      <c r="P97" s="11"/>
      <c r="Q97" s="11"/>
      <c r="R97" s="11"/>
      <c r="S97" s="12"/>
    </row>
    <row r="98" spans="1:19" x14ac:dyDescent="0.3">
      <c r="A98" s="199"/>
      <c r="B98" s="199"/>
      <c r="C98" s="199"/>
      <c r="E98" s="13"/>
      <c r="F98" s="4" t="s">
        <v>76</v>
      </c>
      <c r="M98" s="4" t="s">
        <v>75</v>
      </c>
      <c r="S98" s="14"/>
    </row>
    <row r="99" spans="1:19" x14ac:dyDescent="0.3">
      <c r="A99" s="199"/>
      <c r="B99" s="199"/>
      <c r="C99" s="199"/>
      <c r="E99" s="13"/>
      <c r="F99" t="s">
        <v>74</v>
      </c>
      <c r="G99">
        <v>50</v>
      </c>
      <c r="M99" t="s">
        <v>74</v>
      </c>
      <c r="N99" s="17">
        <v>150</v>
      </c>
      <c r="S99" s="14"/>
    </row>
    <row r="100" spans="1:19" x14ac:dyDescent="0.3">
      <c r="A100" s="199"/>
      <c r="B100" s="199"/>
      <c r="C100" s="199"/>
      <c r="E100" s="13"/>
      <c r="F100" t="s">
        <v>3</v>
      </c>
      <c r="G100">
        <v>40</v>
      </c>
      <c r="M100" t="s">
        <v>3</v>
      </c>
      <c r="N100">
        <v>60</v>
      </c>
      <c r="S100" s="14"/>
    </row>
    <row r="101" spans="1:19" x14ac:dyDescent="0.3">
      <c r="A101" s="199"/>
      <c r="B101" s="199"/>
      <c r="C101" s="199"/>
      <c r="E101" s="13"/>
      <c r="F101" t="s">
        <v>73</v>
      </c>
      <c r="G101" s="17">
        <v>400</v>
      </c>
      <c r="M101" t="s">
        <v>73</v>
      </c>
      <c r="N101" s="17">
        <v>2000</v>
      </c>
      <c r="S101" s="14"/>
    </row>
    <row r="102" spans="1:19" x14ac:dyDescent="0.3">
      <c r="A102" s="199"/>
      <c r="B102" s="199"/>
      <c r="C102" s="199"/>
      <c r="E102" s="13"/>
      <c r="S102" s="14"/>
    </row>
    <row r="103" spans="1:19" ht="43.2" x14ac:dyDescent="0.3">
      <c r="A103" s="199"/>
      <c r="B103" s="199"/>
      <c r="C103" s="199"/>
      <c r="E103" s="71" t="s">
        <v>3</v>
      </c>
      <c r="F103" s="52" t="s">
        <v>65</v>
      </c>
      <c r="G103" s="52" t="s">
        <v>72</v>
      </c>
      <c r="H103" s="52" t="s">
        <v>71</v>
      </c>
      <c r="I103" s="52" t="s">
        <v>70</v>
      </c>
      <c r="L103" s="52" t="s">
        <v>3</v>
      </c>
      <c r="M103" s="52" t="s">
        <v>65</v>
      </c>
      <c r="N103" s="52" t="s">
        <v>72</v>
      </c>
      <c r="O103" s="52" t="s">
        <v>71</v>
      </c>
      <c r="P103" s="52" t="s">
        <v>70</v>
      </c>
      <c r="S103" s="37" t="s">
        <v>69</v>
      </c>
    </row>
    <row r="104" spans="1:19" x14ac:dyDescent="0.3">
      <c r="A104" s="199"/>
      <c r="B104" s="199"/>
      <c r="C104" s="199"/>
      <c r="E104" s="13">
        <v>55</v>
      </c>
      <c r="F104" s="19">
        <v>0</v>
      </c>
      <c r="G104" s="42">
        <f>G99*F104</f>
        <v>0</v>
      </c>
      <c r="H104" s="42">
        <f>G99-G104</f>
        <v>50</v>
      </c>
      <c r="I104" s="17">
        <f t="shared" ref="I104:I119" si="21">G104*G$101*12*B75*C75*(1+G$5)^-(E104-G$100)</f>
        <v>0</v>
      </c>
      <c r="L104">
        <v>55</v>
      </c>
      <c r="M104" s="70" t="s">
        <v>8</v>
      </c>
      <c r="N104" s="70" t="s">
        <v>8</v>
      </c>
      <c r="O104" s="70" t="s">
        <v>8</v>
      </c>
      <c r="P104" s="70" t="s">
        <v>8</v>
      </c>
      <c r="Q104" s="69"/>
      <c r="S104" s="68"/>
    </row>
    <row r="105" spans="1:19" x14ac:dyDescent="0.3">
      <c r="A105" s="199"/>
      <c r="B105" s="199"/>
      <c r="C105" s="199"/>
      <c r="E105" s="13">
        <v>56</v>
      </c>
      <c r="F105" s="19">
        <v>0</v>
      </c>
      <c r="G105" s="42">
        <f t="shared" ref="G105:G119" si="22">H104*F105</f>
        <v>0</v>
      </c>
      <c r="H105" s="42">
        <f t="shared" ref="H105:H119" si="23">H104-G105</f>
        <v>50</v>
      </c>
      <c r="I105" s="17">
        <f t="shared" si="21"/>
        <v>0</v>
      </c>
      <c r="L105">
        <v>56</v>
      </c>
      <c r="M105" s="70" t="s">
        <v>8</v>
      </c>
      <c r="N105" s="70" t="s">
        <v>8</v>
      </c>
      <c r="O105" s="70" t="s">
        <v>8</v>
      </c>
      <c r="P105" s="70" t="s">
        <v>8</v>
      </c>
      <c r="Q105" s="69"/>
      <c r="S105" s="68"/>
    </row>
    <row r="106" spans="1:19" x14ac:dyDescent="0.3">
      <c r="A106" s="199"/>
      <c r="B106" s="199"/>
      <c r="C106" s="199"/>
      <c r="E106" s="13">
        <v>57</v>
      </c>
      <c r="F106" s="19">
        <v>0</v>
      </c>
      <c r="G106" s="42">
        <f t="shared" si="22"/>
        <v>0</v>
      </c>
      <c r="H106" s="42">
        <f t="shared" si="23"/>
        <v>50</v>
      </c>
      <c r="I106" s="17">
        <f t="shared" si="21"/>
        <v>0</v>
      </c>
      <c r="L106">
        <v>57</v>
      </c>
      <c r="M106" s="70" t="s">
        <v>8</v>
      </c>
      <c r="N106" s="70" t="s">
        <v>8</v>
      </c>
      <c r="O106" s="70" t="s">
        <v>8</v>
      </c>
      <c r="P106" s="70" t="s">
        <v>8</v>
      </c>
      <c r="Q106" s="69"/>
      <c r="S106" s="68"/>
    </row>
    <row r="107" spans="1:19" x14ac:dyDescent="0.3">
      <c r="A107" s="199"/>
      <c r="B107" s="199"/>
      <c r="C107" s="199"/>
      <c r="E107" s="13">
        <v>58</v>
      </c>
      <c r="F107" s="19">
        <v>0</v>
      </c>
      <c r="G107" s="42">
        <f t="shared" si="22"/>
        <v>0</v>
      </c>
      <c r="H107" s="42">
        <f t="shared" si="23"/>
        <v>50</v>
      </c>
      <c r="I107" s="17">
        <f t="shared" si="21"/>
        <v>0</v>
      </c>
      <c r="L107">
        <v>58</v>
      </c>
      <c r="M107" s="70" t="s">
        <v>8</v>
      </c>
      <c r="N107" s="70" t="s">
        <v>8</v>
      </c>
      <c r="O107" s="70" t="s">
        <v>8</v>
      </c>
      <c r="P107" s="70" t="s">
        <v>8</v>
      </c>
      <c r="Q107" s="69"/>
      <c r="S107" s="68"/>
    </row>
    <row r="108" spans="1:19" x14ac:dyDescent="0.3">
      <c r="A108" s="199"/>
      <c r="B108" s="199"/>
      <c r="C108" s="199"/>
      <c r="E108" s="13">
        <v>59</v>
      </c>
      <c r="F108" s="19">
        <v>0</v>
      </c>
      <c r="G108" s="42">
        <f t="shared" si="22"/>
        <v>0</v>
      </c>
      <c r="H108" s="42">
        <f t="shared" si="23"/>
        <v>50</v>
      </c>
      <c r="I108" s="17">
        <f t="shared" si="21"/>
        <v>0</v>
      </c>
      <c r="L108">
        <v>59</v>
      </c>
      <c r="M108" s="70" t="s">
        <v>8</v>
      </c>
      <c r="N108" s="70" t="s">
        <v>8</v>
      </c>
      <c r="O108" s="70" t="s">
        <v>8</v>
      </c>
      <c r="P108" s="70" t="s">
        <v>8</v>
      </c>
      <c r="Q108" s="69"/>
      <c r="S108" s="68"/>
    </row>
    <row r="109" spans="1:19" x14ac:dyDescent="0.3">
      <c r="A109" s="199"/>
      <c r="B109" s="199"/>
      <c r="C109" s="199"/>
      <c r="E109" s="13">
        <v>60</v>
      </c>
      <c r="F109" s="19">
        <v>0</v>
      </c>
      <c r="G109" s="42">
        <f t="shared" si="22"/>
        <v>0</v>
      </c>
      <c r="H109" s="42">
        <f t="shared" si="23"/>
        <v>50</v>
      </c>
      <c r="I109" s="17">
        <f t="shared" si="21"/>
        <v>0</v>
      </c>
      <c r="L109">
        <v>60</v>
      </c>
      <c r="M109" s="19">
        <v>0</v>
      </c>
      <c r="N109" s="42">
        <f>M109*N99</f>
        <v>0</v>
      </c>
      <c r="O109" s="42">
        <f>N99-N109</f>
        <v>150</v>
      </c>
      <c r="P109" s="17">
        <f t="shared" ref="P109:P119" si="24">N109*N$101*12*B80*C80*(1+G$5)^-(L109-N$100)</f>
        <v>0</v>
      </c>
      <c r="S109" s="15"/>
    </row>
    <row r="110" spans="1:19" x14ac:dyDescent="0.3">
      <c r="A110" s="199"/>
      <c r="B110" s="199"/>
      <c r="C110" s="199"/>
      <c r="E110" s="13">
        <v>61</v>
      </c>
      <c r="F110" s="19">
        <v>0</v>
      </c>
      <c r="G110" s="42">
        <f t="shared" si="22"/>
        <v>0</v>
      </c>
      <c r="H110" s="42">
        <f t="shared" si="23"/>
        <v>50</v>
      </c>
      <c r="I110" s="17">
        <f t="shared" si="21"/>
        <v>0</v>
      </c>
      <c r="L110">
        <v>61</v>
      </c>
      <c r="M110" s="19">
        <v>0</v>
      </c>
      <c r="N110" s="42">
        <f t="shared" ref="N110:N119" si="25">O109*M110</f>
        <v>0</v>
      </c>
      <c r="O110" s="42">
        <f t="shared" ref="O110:O119" si="26">O109-N110</f>
        <v>150</v>
      </c>
      <c r="P110" s="17">
        <f t="shared" si="24"/>
        <v>0</v>
      </c>
      <c r="S110" s="15"/>
    </row>
    <row r="111" spans="1:19" x14ac:dyDescent="0.3">
      <c r="A111" s="199"/>
      <c r="B111" s="199"/>
      <c r="C111" s="199"/>
      <c r="E111" s="13">
        <v>62</v>
      </c>
      <c r="F111" s="19">
        <v>1</v>
      </c>
      <c r="G111" s="42">
        <f t="shared" si="22"/>
        <v>50</v>
      </c>
      <c r="H111" s="42">
        <f t="shared" si="23"/>
        <v>0</v>
      </c>
      <c r="I111" s="17">
        <f t="shared" si="21"/>
        <v>1100209.625105184</v>
      </c>
      <c r="L111">
        <v>62</v>
      </c>
      <c r="M111" s="19">
        <v>1</v>
      </c>
      <c r="N111" s="42">
        <f t="shared" si="25"/>
        <v>150</v>
      </c>
      <c r="O111" s="42">
        <f t="shared" si="26"/>
        <v>0</v>
      </c>
      <c r="P111" s="17">
        <f t="shared" si="24"/>
        <v>43787755.102040812</v>
      </c>
      <c r="S111" s="15"/>
    </row>
    <row r="112" spans="1:19" x14ac:dyDescent="0.3">
      <c r="A112" s="199"/>
      <c r="B112" s="199"/>
      <c r="C112" s="199"/>
      <c r="E112" s="13">
        <v>63</v>
      </c>
      <c r="F112" s="19">
        <v>0</v>
      </c>
      <c r="G112" s="42">
        <f t="shared" si="22"/>
        <v>0</v>
      </c>
      <c r="H112" s="42">
        <f t="shared" si="23"/>
        <v>0</v>
      </c>
      <c r="I112" s="17">
        <f t="shared" si="21"/>
        <v>0</v>
      </c>
      <c r="L112">
        <v>63</v>
      </c>
      <c r="M112" s="19">
        <v>0</v>
      </c>
      <c r="N112" s="42">
        <f t="shared" si="25"/>
        <v>0</v>
      </c>
      <c r="O112" s="42">
        <f t="shared" si="26"/>
        <v>0</v>
      </c>
      <c r="P112" s="17">
        <f t="shared" si="24"/>
        <v>0</v>
      </c>
      <c r="S112" s="15"/>
    </row>
    <row r="113" spans="1:19" x14ac:dyDescent="0.3">
      <c r="A113" s="199"/>
      <c r="B113" s="199"/>
      <c r="C113" s="199"/>
      <c r="E113" s="13">
        <v>64</v>
      </c>
      <c r="F113" s="19">
        <v>0</v>
      </c>
      <c r="G113" s="42">
        <f t="shared" si="22"/>
        <v>0</v>
      </c>
      <c r="H113" s="42">
        <f t="shared" si="23"/>
        <v>0</v>
      </c>
      <c r="I113" s="17">
        <f t="shared" si="21"/>
        <v>0</v>
      </c>
      <c r="L113">
        <v>64</v>
      </c>
      <c r="M113" s="19">
        <v>0</v>
      </c>
      <c r="N113" s="42">
        <f t="shared" si="25"/>
        <v>0</v>
      </c>
      <c r="O113" s="42">
        <f t="shared" si="26"/>
        <v>0</v>
      </c>
      <c r="P113" s="17">
        <f t="shared" si="24"/>
        <v>0</v>
      </c>
      <c r="S113" s="15"/>
    </row>
    <row r="114" spans="1:19" x14ac:dyDescent="0.3">
      <c r="A114" s="199"/>
      <c r="B114" s="199"/>
      <c r="C114" s="199"/>
      <c r="E114" s="13">
        <v>65</v>
      </c>
      <c r="F114" s="19">
        <v>0</v>
      </c>
      <c r="G114" s="42">
        <f t="shared" si="22"/>
        <v>0</v>
      </c>
      <c r="H114" s="42">
        <f t="shared" si="23"/>
        <v>0</v>
      </c>
      <c r="I114" s="17">
        <f t="shared" si="21"/>
        <v>0</v>
      </c>
      <c r="L114">
        <v>65</v>
      </c>
      <c r="M114" s="19">
        <v>0</v>
      </c>
      <c r="N114" s="42">
        <f t="shared" si="25"/>
        <v>0</v>
      </c>
      <c r="O114" s="42">
        <f t="shared" si="26"/>
        <v>0</v>
      </c>
      <c r="P114" s="17">
        <f t="shared" si="24"/>
        <v>0</v>
      </c>
      <c r="S114" s="15"/>
    </row>
    <row r="115" spans="1:19" x14ac:dyDescent="0.3">
      <c r="A115" s="199"/>
      <c r="B115" s="199"/>
      <c r="C115" s="199"/>
      <c r="E115" s="13">
        <v>66</v>
      </c>
      <c r="F115" s="19">
        <v>0</v>
      </c>
      <c r="G115" s="42">
        <f t="shared" si="22"/>
        <v>0</v>
      </c>
      <c r="H115" s="42">
        <f t="shared" si="23"/>
        <v>0</v>
      </c>
      <c r="I115" s="17">
        <f t="shared" si="21"/>
        <v>0</v>
      </c>
      <c r="L115">
        <v>66</v>
      </c>
      <c r="M115" s="19">
        <v>0</v>
      </c>
      <c r="N115" s="42">
        <f t="shared" si="25"/>
        <v>0</v>
      </c>
      <c r="O115" s="42">
        <f t="shared" si="26"/>
        <v>0</v>
      </c>
      <c r="P115" s="17">
        <f t="shared" si="24"/>
        <v>0</v>
      </c>
      <c r="S115" s="15"/>
    </row>
    <row r="116" spans="1:19" x14ac:dyDescent="0.3">
      <c r="A116" s="199"/>
      <c r="B116" s="199"/>
      <c r="C116" s="199"/>
      <c r="E116" s="13">
        <v>67</v>
      </c>
      <c r="F116" s="19">
        <v>0</v>
      </c>
      <c r="G116" s="42">
        <f t="shared" si="22"/>
        <v>0</v>
      </c>
      <c r="H116" s="42">
        <f t="shared" si="23"/>
        <v>0</v>
      </c>
      <c r="I116" s="17">
        <f t="shared" si="21"/>
        <v>0</v>
      </c>
      <c r="L116">
        <v>67</v>
      </c>
      <c r="M116" s="19">
        <v>0</v>
      </c>
      <c r="N116" s="42">
        <f t="shared" si="25"/>
        <v>0</v>
      </c>
      <c r="O116" s="42">
        <f t="shared" si="26"/>
        <v>0</v>
      </c>
      <c r="P116" s="17">
        <f t="shared" si="24"/>
        <v>0</v>
      </c>
      <c r="S116" s="15"/>
    </row>
    <row r="117" spans="1:19" x14ac:dyDescent="0.3">
      <c r="A117" s="199"/>
      <c r="B117" s="199"/>
      <c r="C117" s="199"/>
      <c r="E117" s="13">
        <v>68</v>
      </c>
      <c r="F117" s="19">
        <v>0</v>
      </c>
      <c r="G117" s="42">
        <f t="shared" si="22"/>
        <v>0</v>
      </c>
      <c r="H117" s="42">
        <f t="shared" si="23"/>
        <v>0</v>
      </c>
      <c r="I117" s="17">
        <f t="shared" si="21"/>
        <v>0</v>
      </c>
      <c r="L117">
        <v>68</v>
      </c>
      <c r="M117" s="19">
        <v>0</v>
      </c>
      <c r="N117" s="42">
        <f t="shared" si="25"/>
        <v>0</v>
      </c>
      <c r="O117" s="42">
        <f t="shared" si="26"/>
        <v>0</v>
      </c>
      <c r="P117" s="17">
        <f t="shared" si="24"/>
        <v>0</v>
      </c>
      <c r="S117" s="15"/>
    </row>
    <row r="118" spans="1:19" x14ac:dyDescent="0.3">
      <c r="A118" s="199"/>
      <c r="B118" s="199"/>
      <c r="C118" s="199"/>
      <c r="E118" s="13">
        <v>69</v>
      </c>
      <c r="F118" s="19">
        <v>0</v>
      </c>
      <c r="G118" s="42">
        <f t="shared" si="22"/>
        <v>0</v>
      </c>
      <c r="H118" s="42">
        <f t="shared" si="23"/>
        <v>0</v>
      </c>
      <c r="I118" s="17">
        <f t="shared" si="21"/>
        <v>0</v>
      </c>
      <c r="L118">
        <v>69</v>
      </c>
      <c r="M118" s="19">
        <v>0</v>
      </c>
      <c r="N118" s="42">
        <f t="shared" si="25"/>
        <v>0</v>
      </c>
      <c r="O118" s="42">
        <f t="shared" si="26"/>
        <v>0</v>
      </c>
      <c r="P118" s="17">
        <f t="shared" si="24"/>
        <v>0</v>
      </c>
      <c r="S118" s="15"/>
    </row>
    <row r="119" spans="1:19" x14ac:dyDescent="0.3">
      <c r="A119" s="199"/>
      <c r="B119" s="199"/>
      <c r="C119" s="199"/>
      <c r="E119" s="13">
        <v>70</v>
      </c>
      <c r="F119" s="19">
        <v>0</v>
      </c>
      <c r="G119" s="42">
        <f t="shared" si="22"/>
        <v>0</v>
      </c>
      <c r="H119" s="42">
        <f t="shared" si="23"/>
        <v>0</v>
      </c>
      <c r="I119" s="17">
        <f t="shared" si="21"/>
        <v>0</v>
      </c>
      <c r="L119">
        <v>70</v>
      </c>
      <c r="M119" s="19">
        <v>0</v>
      </c>
      <c r="N119" s="42">
        <f t="shared" si="25"/>
        <v>0</v>
      </c>
      <c r="O119" s="42">
        <f t="shared" si="26"/>
        <v>0</v>
      </c>
      <c r="P119" s="17">
        <f t="shared" si="24"/>
        <v>0</v>
      </c>
      <c r="S119" s="15"/>
    </row>
    <row r="120" spans="1:19" x14ac:dyDescent="0.3">
      <c r="A120" s="199"/>
      <c r="B120" s="199"/>
      <c r="C120" s="199"/>
      <c r="E120" s="13" t="s">
        <v>68</v>
      </c>
      <c r="G120" s="42">
        <f>SUM(G104:G119)</f>
        <v>50</v>
      </c>
      <c r="N120" s="42">
        <f>SUM(N104:N119)</f>
        <v>150</v>
      </c>
      <c r="S120" s="14"/>
    </row>
    <row r="121" spans="1:19" x14ac:dyDescent="0.3">
      <c r="A121" s="199"/>
      <c r="B121" s="199"/>
      <c r="C121" s="199"/>
      <c r="E121" s="22" t="s">
        <v>67</v>
      </c>
      <c r="F121" s="23"/>
      <c r="G121" s="23"/>
      <c r="H121" s="23"/>
      <c r="I121" s="67">
        <f>SUM(I104:I119)</f>
        <v>1100209.625105184</v>
      </c>
      <c r="J121" s="23"/>
      <c r="K121" s="23"/>
      <c r="L121" s="23"/>
      <c r="M121" s="23"/>
      <c r="N121" s="23"/>
      <c r="O121" s="23"/>
      <c r="P121" s="67">
        <f>SUM(P104:P119)</f>
        <v>43787755.102040812</v>
      </c>
      <c r="Q121" s="23"/>
      <c r="R121" s="23"/>
      <c r="S121" s="66">
        <f>I121+P121</f>
        <v>44887964.727146</v>
      </c>
    </row>
    <row r="124" spans="1:19" x14ac:dyDescent="0.3">
      <c r="S124" s="7">
        <f>S121-S92</f>
        <v>6537945.7344688624</v>
      </c>
    </row>
  </sheetData>
  <mergeCells count="2">
    <mergeCell ref="A39:C63"/>
    <mergeCell ref="A97:C1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CD78-9B12-4CF9-A834-1C376A7C8B0D}">
  <sheetPr>
    <tabColor theme="5" tint="0.39997558519241921"/>
  </sheetPr>
  <dimension ref="A1:Z51"/>
  <sheetViews>
    <sheetView zoomScale="115" zoomScaleNormal="115" workbookViewId="0"/>
  </sheetViews>
  <sheetFormatPr defaultRowHeight="14.4" x14ac:dyDescent="0.3"/>
  <cols>
    <col min="1" max="2" width="5.109375" customWidth="1"/>
    <col min="3" max="3" width="5.5546875" customWidth="1"/>
    <col min="10" max="11" width="28.88671875" customWidth="1"/>
    <col min="13" max="24" width="10.88671875" customWidth="1"/>
    <col min="26" max="26" width="14.5546875" customWidth="1"/>
  </cols>
  <sheetData>
    <row r="1" spans="1:26" x14ac:dyDescent="0.3">
      <c r="A1" s="186" t="s">
        <v>222</v>
      </c>
    </row>
    <row r="3" spans="1:26" x14ac:dyDescent="0.3">
      <c r="A3" s="1" t="s">
        <v>1</v>
      </c>
    </row>
    <row r="4" spans="1:26" x14ac:dyDescent="0.3">
      <c r="A4" t="s">
        <v>117</v>
      </c>
    </row>
    <row r="6" spans="1:26" ht="28.8" x14ac:dyDescent="0.3">
      <c r="D6" s="188" t="s">
        <v>96</v>
      </c>
      <c r="E6" s="188"/>
      <c r="F6" s="188"/>
      <c r="G6" s="188"/>
      <c r="H6" s="188"/>
      <c r="I6" s="188"/>
      <c r="J6" s="188"/>
      <c r="L6" s="87"/>
      <c r="M6" s="200" t="s">
        <v>95</v>
      </c>
      <c r="N6" s="201"/>
      <c r="O6" s="200" t="s">
        <v>94</v>
      </c>
      <c r="P6" s="201"/>
      <c r="Q6" s="200" t="s">
        <v>93</v>
      </c>
      <c r="R6" s="201"/>
      <c r="S6" s="200" t="s">
        <v>92</v>
      </c>
      <c r="T6" s="201"/>
      <c r="U6" s="200" t="s">
        <v>91</v>
      </c>
      <c r="V6" s="201"/>
      <c r="W6" s="200" t="s">
        <v>90</v>
      </c>
      <c r="X6" s="201"/>
      <c r="Z6" s="86" t="s">
        <v>89</v>
      </c>
    </row>
    <row r="7" spans="1:26" ht="43.2" x14ac:dyDescent="0.3">
      <c r="D7" s="188"/>
      <c r="E7" s="188"/>
      <c r="F7" s="188"/>
      <c r="G7" s="188"/>
      <c r="H7" s="188"/>
      <c r="I7" s="188"/>
      <c r="J7" s="188"/>
      <c r="L7" s="85" t="s">
        <v>88</v>
      </c>
      <c r="M7" s="84" t="s">
        <v>87</v>
      </c>
      <c r="N7" s="83" t="s">
        <v>86</v>
      </c>
      <c r="O7" s="84" t="s">
        <v>87</v>
      </c>
      <c r="P7" s="83" t="s">
        <v>86</v>
      </c>
      <c r="Q7" s="84" t="s">
        <v>87</v>
      </c>
      <c r="R7" s="83" t="s">
        <v>86</v>
      </c>
      <c r="S7" s="84" t="s">
        <v>87</v>
      </c>
      <c r="T7" s="83" t="s">
        <v>86</v>
      </c>
      <c r="U7" s="84" t="s">
        <v>87</v>
      </c>
      <c r="V7" s="83" t="s">
        <v>86</v>
      </c>
      <c r="W7" s="84" t="s">
        <v>87</v>
      </c>
      <c r="X7" s="83" t="s">
        <v>86</v>
      </c>
      <c r="Z7" s="82" t="s">
        <v>85</v>
      </c>
    </row>
    <row r="8" spans="1:26" x14ac:dyDescent="0.3">
      <c r="D8" s="188"/>
      <c r="E8" s="188"/>
      <c r="F8" s="188"/>
      <c r="G8" s="188"/>
      <c r="H8" s="188"/>
      <c r="I8" s="188"/>
      <c r="J8" s="188"/>
      <c r="L8" s="81">
        <v>55</v>
      </c>
      <c r="M8" s="80">
        <v>577</v>
      </c>
      <c r="N8" s="79">
        <v>1</v>
      </c>
      <c r="O8" s="80">
        <v>565</v>
      </c>
      <c r="P8" s="79">
        <v>0</v>
      </c>
      <c r="Q8" s="80">
        <v>571</v>
      </c>
      <c r="R8" s="79">
        <v>2</v>
      </c>
      <c r="S8" s="80">
        <v>584</v>
      </c>
      <c r="T8" s="79">
        <v>1</v>
      </c>
      <c r="U8" s="80">
        <v>586</v>
      </c>
      <c r="V8" s="79">
        <v>2</v>
      </c>
      <c r="W8" s="80">
        <f t="shared" ref="W8:W51" si="0">M8+O8+Q8+S8+U8</f>
        <v>2883</v>
      </c>
      <c r="X8" s="79">
        <f t="shared" ref="X8:X51" si="1">N8+P8+R8+T8+V8</f>
        <v>6</v>
      </c>
      <c r="Z8" s="78">
        <v>1.72E-3</v>
      </c>
    </row>
    <row r="9" spans="1:26" x14ac:dyDescent="0.3">
      <c r="D9" s="188"/>
      <c r="E9" s="188"/>
      <c r="F9" s="188"/>
      <c r="G9" s="188"/>
      <c r="H9" s="188"/>
      <c r="I9" s="188"/>
      <c r="J9" s="188"/>
      <c r="L9" s="81">
        <v>56</v>
      </c>
      <c r="M9" s="80">
        <v>714</v>
      </c>
      <c r="N9" s="79">
        <v>1</v>
      </c>
      <c r="O9" s="80">
        <v>700</v>
      </c>
      <c r="P9" s="79">
        <v>3</v>
      </c>
      <c r="Q9" s="80">
        <v>707</v>
      </c>
      <c r="R9" s="79">
        <v>2</v>
      </c>
      <c r="S9" s="80">
        <v>725</v>
      </c>
      <c r="T9" s="79">
        <v>1</v>
      </c>
      <c r="U9" s="80">
        <v>726</v>
      </c>
      <c r="V9" s="79">
        <v>2</v>
      </c>
      <c r="W9" s="80">
        <f t="shared" si="0"/>
        <v>3572</v>
      </c>
      <c r="X9" s="79">
        <f t="shared" si="1"/>
        <v>9</v>
      </c>
      <c r="Z9" s="78">
        <v>2.1199999999999999E-3</v>
      </c>
    </row>
    <row r="10" spans="1:26" x14ac:dyDescent="0.3">
      <c r="D10" s="188"/>
      <c r="E10" s="188"/>
      <c r="F10" s="188"/>
      <c r="G10" s="188"/>
      <c r="H10" s="188"/>
      <c r="I10" s="188"/>
      <c r="J10" s="188"/>
      <c r="L10" s="81">
        <v>57</v>
      </c>
      <c r="M10" s="80">
        <v>738</v>
      </c>
      <c r="N10" s="79">
        <v>4</v>
      </c>
      <c r="O10" s="80">
        <v>723</v>
      </c>
      <c r="P10" s="79">
        <v>2</v>
      </c>
      <c r="Q10" s="80">
        <v>730</v>
      </c>
      <c r="R10" s="79">
        <v>3</v>
      </c>
      <c r="S10" s="80">
        <v>749</v>
      </c>
      <c r="T10" s="79">
        <v>4</v>
      </c>
      <c r="U10" s="80">
        <v>748</v>
      </c>
      <c r="V10" s="79">
        <v>2</v>
      </c>
      <c r="W10" s="80">
        <f t="shared" si="0"/>
        <v>3688</v>
      </c>
      <c r="X10" s="79">
        <f t="shared" si="1"/>
        <v>15</v>
      </c>
      <c r="Z10" s="78">
        <v>2.4599999999999999E-3</v>
      </c>
    </row>
    <row r="11" spans="1:26" x14ac:dyDescent="0.3">
      <c r="D11" s="188"/>
      <c r="E11" s="188"/>
      <c r="F11" s="188"/>
      <c r="G11" s="188"/>
      <c r="H11" s="188"/>
      <c r="I11" s="188"/>
      <c r="J11" s="188"/>
      <c r="L11" s="81">
        <v>58</v>
      </c>
      <c r="M11" s="80">
        <v>705</v>
      </c>
      <c r="N11" s="79">
        <v>3</v>
      </c>
      <c r="O11" s="80">
        <v>691</v>
      </c>
      <c r="P11" s="79">
        <v>5</v>
      </c>
      <c r="Q11" s="80">
        <v>698</v>
      </c>
      <c r="R11" s="79">
        <v>4</v>
      </c>
      <c r="S11" s="80">
        <v>715</v>
      </c>
      <c r="T11" s="79">
        <v>2</v>
      </c>
      <c r="U11" s="80">
        <v>715</v>
      </c>
      <c r="V11" s="79">
        <v>4</v>
      </c>
      <c r="W11" s="80">
        <f t="shared" si="0"/>
        <v>3524</v>
      </c>
      <c r="X11" s="79">
        <f t="shared" si="1"/>
        <v>18</v>
      </c>
      <c r="Z11" s="78">
        <v>2.8500000000000001E-3</v>
      </c>
    </row>
    <row r="12" spans="1:26" x14ac:dyDescent="0.3">
      <c r="D12" s="188"/>
      <c r="E12" s="188"/>
      <c r="F12" s="188"/>
      <c r="G12" s="188"/>
      <c r="H12" s="188"/>
      <c r="I12" s="188"/>
      <c r="J12" s="188"/>
      <c r="L12" s="81">
        <v>59</v>
      </c>
      <c r="M12" s="80">
        <v>721</v>
      </c>
      <c r="N12" s="79">
        <v>1</v>
      </c>
      <c r="O12" s="80">
        <v>707</v>
      </c>
      <c r="P12" s="79">
        <v>3</v>
      </c>
      <c r="Q12" s="80">
        <v>714</v>
      </c>
      <c r="R12" s="79">
        <v>5</v>
      </c>
      <c r="S12" s="80">
        <v>732</v>
      </c>
      <c r="T12" s="79">
        <v>2</v>
      </c>
      <c r="U12" s="80">
        <v>730</v>
      </c>
      <c r="V12" s="79">
        <v>3</v>
      </c>
      <c r="W12" s="80">
        <f t="shared" si="0"/>
        <v>3604</v>
      </c>
      <c r="X12" s="79">
        <f t="shared" si="1"/>
        <v>14</v>
      </c>
      <c r="Z12" s="78">
        <v>3.2799999999999999E-3</v>
      </c>
    </row>
    <row r="13" spans="1:26" x14ac:dyDescent="0.3">
      <c r="D13" s="188"/>
      <c r="E13" s="188"/>
      <c r="F13" s="188"/>
      <c r="G13" s="188"/>
      <c r="H13" s="188"/>
      <c r="I13" s="188"/>
      <c r="J13" s="188"/>
      <c r="L13" s="81">
        <v>60</v>
      </c>
      <c r="M13" s="80">
        <v>724</v>
      </c>
      <c r="N13" s="79">
        <v>3</v>
      </c>
      <c r="O13" s="80">
        <v>710</v>
      </c>
      <c r="P13" s="79">
        <v>4</v>
      </c>
      <c r="Q13" s="80">
        <v>717</v>
      </c>
      <c r="R13" s="79">
        <v>5</v>
      </c>
      <c r="S13" s="80">
        <v>735</v>
      </c>
      <c r="T13" s="79">
        <v>2</v>
      </c>
      <c r="U13" s="80">
        <v>734</v>
      </c>
      <c r="V13" s="79">
        <v>1</v>
      </c>
      <c r="W13" s="80">
        <f t="shared" si="0"/>
        <v>3620</v>
      </c>
      <c r="X13" s="79">
        <f t="shared" si="1"/>
        <v>15</v>
      </c>
      <c r="Z13" s="78">
        <v>3.79E-3</v>
      </c>
    </row>
    <row r="14" spans="1:26" x14ac:dyDescent="0.3">
      <c r="D14" s="188"/>
      <c r="E14" s="188"/>
      <c r="F14" s="188"/>
      <c r="G14" s="188"/>
      <c r="H14" s="188"/>
      <c r="I14" s="188"/>
      <c r="J14" s="188"/>
      <c r="L14" s="81">
        <v>61</v>
      </c>
      <c r="M14" s="80">
        <v>707</v>
      </c>
      <c r="N14" s="79">
        <v>3</v>
      </c>
      <c r="O14" s="80">
        <v>693</v>
      </c>
      <c r="P14" s="79">
        <v>2</v>
      </c>
      <c r="Q14" s="80">
        <v>700</v>
      </c>
      <c r="R14" s="79">
        <v>3</v>
      </c>
      <c r="S14" s="80">
        <v>718</v>
      </c>
      <c r="T14" s="79">
        <v>3</v>
      </c>
      <c r="U14" s="80">
        <v>717</v>
      </c>
      <c r="V14" s="79">
        <v>4</v>
      </c>
      <c r="W14" s="80">
        <f t="shared" si="0"/>
        <v>3535</v>
      </c>
      <c r="X14" s="79">
        <f t="shared" si="1"/>
        <v>15</v>
      </c>
      <c r="Z14" s="78">
        <v>4.3299999999999996E-3</v>
      </c>
    </row>
    <row r="15" spans="1:26" x14ac:dyDescent="0.3">
      <c r="D15" s="188"/>
      <c r="E15" s="188"/>
      <c r="F15" s="188"/>
      <c r="G15" s="188"/>
      <c r="H15" s="188"/>
      <c r="I15" s="188"/>
      <c r="J15" s="188"/>
      <c r="L15" s="81">
        <v>62</v>
      </c>
      <c r="M15" s="80">
        <v>733</v>
      </c>
      <c r="N15" s="79">
        <v>4</v>
      </c>
      <c r="O15" s="80">
        <v>719</v>
      </c>
      <c r="P15" s="79">
        <v>4</v>
      </c>
      <c r="Q15" s="80">
        <v>726</v>
      </c>
      <c r="R15" s="79">
        <v>6</v>
      </c>
      <c r="S15" s="80">
        <v>744</v>
      </c>
      <c r="T15" s="79">
        <v>10</v>
      </c>
      <c r="U15" s="80">
        <v>745</v>
      </c>
      <c r="V15" s="79">
        <v>3</v>
      </c>
      <c r="W15" s="80">
        <f t="shared" si="0"/>
        <v>3667</v>
      </c>
      <c r="X15" s="79">
        <f t="shared" si="1"/>
        <v>27</v>
      </c>
      <c r="Z15" s="78">
        <v>5.1200000000000004E-3</v>
      </c>
    </row>
    <row r="16" spans="1:26" x14ac:dyDescent="0.3">
      <c r="D16" s="188"/>
      <c r="E16" s="188"/>
      <c r="F16" s="188"/>
      <c r="G16" s="188"/>
      <c r="H16" s="188"/>
      <c r="I16" s="188"/>
      <c r="J16" s="188"/>
      <c r="L16" s="81">
        <v>63</v>
      </c>
      <c r="M16" s="80">
        <v>647</v>
      </c>
      <c r="N16" s="79">
        <v>7</v>
      </c>
      <c r="O16" s="80">
        <v>634</v>
      </c>
      <c r="P16" s="79">
        <v>10</v>
      </c>
      <c r="Q16" s="80">
        <v>640</v>
      </c>
      <c r="R16" s="79">
        <v>6</v>
      </c>
      <c r="S16" s="80">
        <v>656</v>
      </c>
      <c r="T16" s="79">
        <v>4</v>
      </c>
      <c r="U16" s="80">
        <v>656</v>
      </c>
      <c r="V16" s="79">
        <v>5</v>
      </c>
      <c r="W16" s="80">
        <f t="shared" si="0"/>
        <v>3233</v>
      </c>
      <c r="X16" s="79">
        <f t="shared" si="1"/>
        <v>32</v>
      </c>
      <c r="Z16" s="78">
        <v>5.9100000000000003E-3</v>
      </c>
    </row>
    <row r="17" spans="4:26" x14ac:dyDescent="0.3">
      <c r="D17" s="188"/>
      <c r="E17" s="188"/>
      <c r="F17" s="188"/>
      <c r="G17" s="188"/>
      <c r="H17" s="188"/>
      <c r="I17" s="188"/>
      <c r="J17" s="188"/>
      <c r="L17" s="81">
        <v>64</v>
      </c>
      <c r="M17" s="80">
        <v>641</v>
      </c>
      <c r="N17" s="79">
        <v>5</v>
      </c>
      <c r="O17" s="80">
        <v>629</v>
      </c>
      <c r="P17" s="79">
        <v>6</v>
      </c>
      <c r="Q17" s="80">
        <v>635</v>
      </c>
      <c r="R17" s="79">
        <v>4</v>
      </c>
      <c r="S17" s="80">
        <v>651</v>
      </c>
      <c r="T17" s="79">
        <v>3</v>
      </c>
      <c r="U17" s="80">
        <v>650</v>
      </c>
      <c r="V17" s="79">
        <v>2</v>
      </c>
      <c r="W17" s="80">
        <f t="shared" si="0"/>
        <v>3206</v>
      </c>
      <c r="X17" s="79">
        <f t="shared" si="1"/>
        <v>20</v>
      </c>
      <c r="Z17" s="78">
        <v>6.5599999999999999E-3</v>
      </c>
    </row>
    <row r="18" spans="4:26" x14ac:dyDescent="0.3">
      <c r="D18" s="188"/>
      <c r="E18" s="188"/>
      <c r="F18" s="188"/>
      <c r="G18" s="188"/>
      <c r="H18" s="188"/>
      <c r="I18" s="188"/>
      <c r="J18" s="188"/>
      <c r="L18" s="81">
        <v>65</v>
      </c>
      <c r="M18" s="80">
        <v>619</v>
      </c>
      <c r="N18" s="79">
        <v>5</v>
      </c>
      <c r="O18" s="80">
        <v>607</v>
      </c>
      <c r="P18" s="79">
        <v>6</v>
      </c>
      <c r="Q18" s="80">
        <v>613</v>
      </c>
      <c r="R18" s="79">
        <v>10</v>
      </c>
      <c r="S18" s="80">
        <v>628</v>
      </c>
      <c r="T18" s="79">
        <v>3</v>
      </c>
      <c r="U18" s="80">
        <v>629</v>
      </c>
      <c r="V18" s="79">
        <v>8</v>
      </c>
      <c r="W18" s="80">
        <f t="shared" si="0"/>
        <v>3096</v>
      </c>
      <c r="X18" s="79">
        <f t="shared" si="1"/>
        <v>32</v>
      </c>
      <c r="Z18" s="78">
        <v>7.4000000000000003E-3</v>
      </c>
    </row>
    <row r="19" spans="4:26" x14ac:dyDescent="0.3">
      <c r="D19" s="188"/>
      <c r="E19" s="188"/>
      <c r="F19" s="188"/>
      <c r="G19" s="188"/>
      <c r="H19" s="188"/>
      <c r="I19" s="188"/>
      <c r="J19" s="188"/>
      <c r="L19" s="81">
        <v>66</v>
      </c>
      <c r="M19" s="80">
        <v>655</v>
      </c>
      <c r="N19" s="79">
        <v>4</v>
      </c>
      <c r="O19" s="80">
        <v>642</v>
      </c>
      <c r="P19" s="79">
        <v>9</v>
      </c>
      <c r="Q19" s="80">
        <v>649</v>
      </c>
      <c r="R19" s="79">
        <v>8</v>
      </c>
      <c r="S19" s="80">
        <v>665</v>
      </c>
      <c r="T19" s="79">
        <v>7</v>
      </c>
      <c r="U19" s="80">
        <v>664</v>
      </c>
      <c r="V19" s="79">
        <v>9</v>
      </c>
      <c r="W19" s="80">
        <f t="shared" si="0"/>
        <v>3275</v>
      </c>
      <c r="X19" s="79">
        <f t="shared" si="1"/>
        <v>37</v>
      </c>
      <c r="Z19" s="78">
        <v>8.3199999999999993E-3</v>
      </c>
    </row>
    <row r="20" spans="4:26" x14ac:dyDescent="0.3">
      <c r="D20" s="188"/>
      <c r="E20" s="188"/>
      <c r="F20" s="188"/>
      <c r="G20" s="188"/>
      <c r="H20" s="188"/>
      <c r="I20" s="188"/>
      <c r="J20" s="188"/>
      <c r="L20" s="81">
        <v>67</v>
      </c>
      <c r="M20" s="80">
        <v>631</v>
      </c>
      <c r="N20" s="79">
        <v>9</v>
      </c>
      <c r="O20" s="80">
        <v>618</v>
      </c>
      <c r="P20" s="79">
        <v>5</v>
      </c>
      <c r="Q20" s="80">
        <v>625</v>
      </c>
      <c r="R20" s="79">
        <v>7</v>
      </c>
      <c r="S20" s="80">
        <v>640</v>
      </c>
      <c r="T20" s="79">
        <v>4</v>
      </c>
      <c r="U20" s="80">
        <v>640</v>
      </c>
      <c r="V20" s="79">
        <v>6</v>
      </c>
      <c r="W20" s="80">
        <f t="shared" si="0"/>
        <v>3154</v>
      </c>
      <c r="X20" s="79">
        <f t="shared" si="1"/>
        <v>31</v>
      </c>
      <c r="Z20" s="78">
        <v>9.1999999999999998E-3</v>
      </c>
    </row>
    <row r="21" spans="4:26" x14ac:dyDescent="0.3">
      <c r="D21" s="188"/>
      <c r="E21" s="188"/>
      <c r="F21" s="188"/>
      <c r="G21" s="188"/>
      <c r="H21" s="188"/>
      <c r="I21" s="188"/>
      <c r="J21" s="188"/>
      <c r="L21" s="81">
        <v>68</v>
      </c>
      <c r="M21" s="80">
        <v>574</v>
      </c>
      <c r="N21" s="79">
        <v>7</v>
      </c>
      <c r="O21" s="80">
        <v>562</v>
      </c>
      <c r="P21" s="79">
        <v>5</v>
      </c>
      <c r="Q21" s="80">
        <v>568</v>
      </c>
      <c r="R21" s="79">
        <v>6</v>
      </c>
      <c r="S21" s="80">
        <v>582</v>
      </c>
      <c r="T21" s="79">
        <v>7</v>
      </c>
      <c r="U21" s="80">
        <v>582</v>
      </c>
      <c r="V21" s="79">
        <v>2</v>
      </c>
      <c r="W21" s="80">
        <f t="shared" si="0"/>
        <v>2868</v>
      </c>
      <c r="X21" s="79">
        <f t="shared" si="1"/>
        <v>27</v>
      </c>
      <c r="Z21" s="78">
        <v>1.017E-2</v>
      </c>
    </row>
    <row r="22" spans="4:26" x14ac:dyDescent="0.3">
      <c r="D22" s="188"/>
      <c r="E22" s="188"/>
      <c r="F22" s="188"/>
      <c r="G22" s="188"/>
      <c r="H22" s="188"/>
      <c r="I22" s="188"/>
      <c r="J22" s="188"/>
      <c r="L22" s="81">
        <v>69</v>
      </c>
      <c r="M22" s="80">
        <v>490</v>
      </c>
      <c r="N22" s="79">
        <v>7</v>
      </c>
      <c r="O22" s="80">
        <v>480</v>
      </c>
      <c r="P22" s="79">
        <v>8</v>
      </c>
      <c r="Q22" s="80">
        <v>485</v>
      </c>
      <c r="R22" s="79">
        <v>5</v>
      </c>
      <c r="S22" s="80">
        <v>497</v>
      </c>
      <c r="T22" s="79">
        <v>10</v>
      </c>
      <c r="U22" s="80">
        <v>498</v>
      </c>
      <c r="V22" s="79">
        <v>8</v>
      </c>
      <c r="W22" s="80">
        <f t="shared" si="0"/>
        <v>2450</v>
      </c>
      <c r="X22" s="79">
        <f t="shared" si="1"/>
        <v>38</v>
      </c>
      <c r="Z22" s="78">
        <v>1.1259999999999999E-2</v>
      </c>
    </row>
    <row r="23" spans="4:26" x14ac:dyDescent="0.3">
      <c r="D23" s="188"/>
      <c r="E23" s="188"/>
      <c r="F23" s="188"/>
      <c r="G23" s="188"/>
      <c r="H23" s="188"/>
      <c r="I23" s="188"/>
      <c r="J23" s="188"/>
      <c r="L23" s="81">
        <v>70</v>
      </c>
      <c r="M23" s="80">
        <v>452</v>
      </c>
      <c r="N23" s="79">
        <v>8</v>
      </c>
      <c r="O23" s="80">
        <v>443</v>
      </c>
      <c r="P23" s="79">
        <v>6</v>
      </c>
      <c r="Q23" s="80">
        <v>447</v>
      </c>
      <c r="R23" s="79">
        <v>10</v>
      </c>
      <c r="S23" s="80">
        <v>459</v>
      </c>
      <c r="T23" s="79">
        <v>7</v>
      </c>
      <c r="U23" s="80">
        <v>458</v>
      </c>
      <c r="V23" s="79">
        <v>9</v>
      </c>
      <c r="W23" s="80">
        <f t="shared" si="0"/>
        <v>2259</v>
      </c>
      <c r="X23" s="79">
        <f t="shared" si="1"/>
        <v>40</v>
      </c>
      <c r="Z23" s="78">
        <v>1.251E-2</v>
      </c>
    </row>
    <row r="24" spans="4:26" x14ac:dyDescent="0.3">
      <c r="D24" s="188"/>
      <c r="E24" s="188"/>
      <c r="F24" s="188"/>
      <c r="G24" s="188"/>
      <c r="H24" s="188"/>
      <c r="I24" s="188"/>
      <c r="J24" s="188"/>
      <c r="L24" s="81">
        <v>71</v>
      </c>
      <c r="M24" s="80">
        <v>374</v>
      </c>
      <c r="N24" s="79">
        <v>8</v>
      </c>
      <c r="O24" s="80">
        <v>366</v>
      </c>
      <c r="P24" s="79">
        <v>6</v>
      </c>
      <c r="Q24" s="80">
        <v>370</v>
      </c>
      <c r="R24" s="79">
        <v>7</v>
      </c>
      <c r="S24" s="80">
        <v>379</v>
      </c>
      <c r="T24" s="79">
        <v>5</v>
      </c>
      <c r="U24" s="80">
        <v>379</v>
      </c>
      <c r="V24" s="79">
        <v>9</v>
      </c>
      <c r="W24" s="80">
        <f t="shared" si="0"/>
        <v>1868</v>
      </c>
      <c r="X24" s="79">
        <f t="shared" si="1"/>
        <v>35</v>
      </c>
      <c r="Z24" s="78">
        <v>1.396E-2</v>
      </c>
    </row>
    <row r="25" spans="4:26" x14ac:dyDescent="0.3">
      <c r="D25" s="188"/>
      <c r="E25" s="188"/>
      <c r="F25" s="188"/>
      <c r="G25" s="188"/>
      <c r="H25" s="188"/>
      <c r="I25" s="188"/>
      <c r="J25" s="188"/>
      <c r="L25" s="81">
        <v>72</v>
      </c>
      <c r="M25" s="80">
        <v>342</v>
      </c>
      <c r="N25" s="79">
        <v>8</v>
      </c>
      <c r="O25" s="80">
        <v>335</v>
      </c>
      <c r="P25" s="79">
        <v>10</v>
      </c>
      <c r="Q25" s="80">
        <v>338</v>
      </c>
      <c r="R25" s="79">
        <v>5</v>
      </c>
      <c r="S25" s="80">
        <v>347</v>
      </c>
      <c r="T25" s="79">
        <v>10</v>
      </c>
      <c r="U25" s="80">
        <v>347</v>
      </c>
      <c r="V25" s="79">
        <v>8</v>
      </c>
      <c r="W25" s="80">
        <f t="shared" si="0"/>
        <v>1709</v>
      </c>
      <c r="X25" s="79">
        <f t="shared" si="1"/>
        <v>41</v>
      </c>
      <c r="Z25" s="78">
        <v>1.559E-2</v>
      </c>
    </row>
    <row r="26" spans="4:26" x14ac:dyDescent="0.3">
      <c r="D26" s="188"/>
      <c r="E26" s="188"/>
      <c r="F26" s="188"/>
      <c r="G26" s="188"/>
      <c r="H26" s="188"/>
      <c r="I26" s="188"/>
      <c r="J26" s="188"/>
      <c r="L26" s="81">
        <v>73</v>
      </c>
      <c r="M26" s="80">
        <v>324</v>
      </c>
      <c r="N26" s="79">
        <v>11</v>
      </c>
      <c r="O26" s="80">
        <v>317</v>
      </c>
      <c r="P26" s="79">
        <v>8</v>
      </c>
      <c r="Q26" s="80">
        <v>321</v>
      </c>
      <c r="R26" s="79">
        <v>12</v>
      </c>
      <c r="S26" s="80">
        <v>329</v>
      </c>
      <c r="T26" s="79">
        <v>7</v>
      </c>
      <c r="U26" s="80">
        <v>328</v>
      </c>
      <c r="V26" s="79">
        <v>11</v>
      </c>
      <c r="W26" s="80">
        <f t="shared" si="0"/>
        <v>1619</v>
      </c>
      <c r="X26" s="79">
        <f t="shared" si="1"/>
        <v>49</v>
      </c>
      <c r="Z26" s="78">
        <v>1.745E-2</v>
      </c>
    </row>
    <row r="27" spans="4:26" x14ac:dyDescent="0.3">
      <c r="D27" s="188"/>
      <c r="E27" s="188"/>
      <c r="F27" s="188"/>
      <c r="G27" s="188"/>
      <c r="H27" s="188"/>
      <c r="I27" s="188"/>
      <c r="J27" s="188"/>
      <c r="L27" s="81">
        <v>74</v>
      </c>
      <c r="M27" s="80">
        <v>285</v>
      </c>
      <c r="N27" s="79">
        <v>8</v>
      </c>
      <c r="O27" s="80">
        <v>279</v>
      </c>
      <c r="P27" s="79">
        <v>10</v>
      </c>
      <c r="Q27" s="80">
        <v>282</v>
      </c>
      <c r="R27" s="79">
        <v>3</v>
      </c>
      <c r="S27" s="80">
        <v>289</v>
      </c>
      <c r="T27" s="79">
        <v>8</v>
      </c>
      <c r="U27" s="80">
        <v>288</v>
      </c>
      <c r="V27" s="79">
        <v>6</v>
      </c>
      <c r="W27" s="80">
        <f t="shared" si="0"/>
        <v>1423</v>
      </c>
      <c r="X27" s="79">
        <f t="shared" si="1"/>
        <v>35</v>
      </c>
      <c r="Z27" s="78">
        <v>1.959E-2</v>
      </c>
    </row>
    <row r="28" spans="4:26" x14ac:dyDescent="0.3">
      <c r="D28" s="188"/>
      <c r="E28" s="188"/>
      <c r="F28" s="188"/>
      <c r="G28" s="188"/>
      <c r="H28" s="188"/>
      <c r="I28" s="188"/>
      <c r="J28" s="188"/>
      <c r="L28" s="81">
        <v>75</v>
      </c>
      <c r="M28" s="80">
        <v>276</v>
      </c>
      <c r="N28" s="79">
        <v>8</v>
      </c>
      <c r="O28" s="80">
        <v>271</v>
      </c>
      <c r="P28" s="79">
        <v>9</v>
      </c>
      <c r="Q28" s="80">
        <v>273</v>
      </c>
      <c r="R28" s="79">
        <v>8</v>
      </c>
      <c r="S28" s="80">
        <v>280</v>
      </c>
      <c r="T28" s="79">
        <v>7</v>
      </c>
      <c r="U28" s="80">
        <v>281</v>
      </c>
      <c r="V28" s="79">
        <v>6</v>
      </c>
      <c r="W28" s="80">
        <f t="shared" si="0"/>
        <v>1381</v>
      </c>
      <c r="X28" s="79">
        <f t="shared" si="1"/>
        <v>38</v>
      </c>
      <c r="Z28" s="78">
        <v>2.2040000000000001E-2</v>
      </c>
    </row>
    <row r="29" spans="4:26" x14ac:dyDescent="0.3">
      <c r="D29" s="188"/>
      <c r="E29" s="188"/>
      <c r="F29" s="188"/>
      <c r="G29" s="188"/>
      <c r="H29" s="188"/>
      <c r="I29" s="188"/>
      <c r="J29" s="188"/>
      <c r="L29" s="81">
        <v>76</v>
      </c>
      <c r="M29" s="80">
        <v>255</v>
      </c>
      <c r="N29" s="79">
        <v>8</v>
      </c>
      <c r="O29" s="80">
        <v>250</v>
      </c>
      <c r="P29" s="79">
        <v>11</v>
      </c>
      <c r="Q29" s="80">
        <v>252</v>
      </c>
      <c r="R29" s="79">
        <v>10</v>
      </c>
      <c r="S29" s="80">
        <v>259</v>
      </c>
      <c r="T29" s="79">
        <v>7</v>
      </c>
      <c r="U29" s="80">
        <v>259</v>
      </c>
      <c r="V29" s="79">
        <v>10</v>
      </c>
      <c r="W29" s="80">
        <f t="shared" si="0"/>
        <v>1275</v>
      </c>
      <c r="X29" s="79">
        <f t="shared" si="1"/>
        <v>46</v>
      </c>
      <c r="Z29" s="78">
        <v>2.4850000000000001E-2</v>
      </c>
    </row>
    <row r="30" spans="4:26" x14ac:dyDescent="0.3">
      <c r="D30" s="188"/>
      <c r="E30" s="188"/>
      <c r="F30" s="188"/>
      <c r="G30" s="188"/>
      <c r="H30" s="188"/>
      <c r="I30" s="188"/>
      <c r="J30" s="188"/>
      <c r="L30" s="81">
        <v>77</v>
      </c>
      <c r="M30" s="80">
        <v>222</v>
      </c>
      <c r="N30" s="79">
        <v>5</v>
      </c>
      <c r="O30" s="80">
        <v>218</v>
      </c>
      <c r="P30" s="79">
        <v>6</v>
      </c>
      <c r="Q30" s="80">
        <v>220</v>
      </c>
      <c r="R30" s="79">
        <v>3</v>
      </c>
      <c r="S30" s="80">
        <v>226</v>
      </c>
      <c r="T30" s="79">
        <v>8</v>
      </c>
      <c r="U30" s="80">
        <v>225</v>
      </c>
      <c r="V30" s="79">
        <v>7</v>
      </c>
      <c r="W30" s="80">
        <f t="shared" si="0"/>
        <v>1111</v>
      </c>
      <c r="X30" s="79">
        <f t="shared" si="1"/>
        <v>29</v>
      </c>
      <c r="Z30" s="78">
        <v>2.8049999999999999E-2</v>
      </c>
    </row>
    <row r="31" spans="4:26" x14ac:dyDescent="0.3">
      <c r="D31" s="188"/>
      <c r="E31" s="188"/>
      <c r="F31" s="188"/>
      <c r="G31" s="188"/>
      <c r="H31" s="188"/>
      <c r="I31" s="188"/>
      <c r="J31" s="188"/>
      <c r="L31" s="81">
        <v>78</v>
      </c>
      <c r="M31" s="80">
        <v>194</v>
      </c>
      <c r="N31" s="79">
        <v>6</v>
      </c>
      <c r="O31" s="80">
        <v>190</v>
      </c>
      <c r="P31" s="79">
        <v>5</v>
      </c>
      <c r="Q31" s="80">
        <v>192</v>
      </c>
      <c r="R31" s="79">
        <v>8</v>
      </c>
      <c r="S31" s="80">
        <v>197</v>
      </c>
      <c r="T31" s="79">
        <v>8</v>
      </c>
      <c r="U31" s="80">
        <v>196</v>
      </c>
      <c r="V31" s="79">
        <v>3</v>
      </c>
      <c r="W31" s="80">
        <f t="shared" si="0"/>
        <v>969</v>
      </c>
      <c r="X31" s="79">
        <f t="shared" si="1"/>
        <v>30</v>
      </c>
      <c r="Z31" s="78">
        <v>3.1690000000000003E-2</v>
      </c>
    </row>
    <row r="32" spans="4:26" x14ac:dyDescent="0.3">
      <c r="D32" s="188"/>
      <c r="E32" s="188"/>
      <c r="F32" s="188"/>
      <c r="G32" s="188"/>
      <c r="H32" s="188"/>
      <c r="I32" s="188"/>
      <c r="J32" s="188"/>
      <c r="L32" s="81">
        <v>79</v>
      </c>
      <c r="M32" s="80">
        <v>154</v>
      </c>
      <c r="N32" s="79">
        <v>4</v>
      </c>
      <c r="O32" s="80">
        <v>151</v>
      </c>
      <c r="P32" s="79">
        <v>3</v>
      </c>
      <c r="Q32" s="80">
        <v>153</v>
      </c>
      <c r="R32" s="79">
        <v>3</v>
      </c>
      <c r="S32" s="80">
        <v>157</v>
      </c>
      <c r="T32" s="79">
        <v>8</v>
      </c>
      <c r="U32" s="80">
        <v>157</v>
      </c>
      <c r="V32" s="79">
        <v>2</v>
      </c>
      <c r="W32" s="80">
        <f t="shared" si="0"/>
        <v>772</v>
      </c>
      <c r="X32" s="79">
        <f t="shared" si="1"/>
        <v>20</v>
      </c>
      <c r="Z32" s="78">
        <v>3.5830000000000001E-2</v>
      </c>
    </row>
    <row r="33" spans="4:26" x14ac:dyDescent="0.3">
      <c r="D33" s="188"/>
      <c r="E33" s="188"/>
      <c r="F33" s="188"/>
      <c r="G33" s="188"/>
      <c r="H33" s="188"/>
      <c r="I33" s="188"/>
      <c r="J33" s="188"/>
      <c r="L33" s="81">
        <v>80</v>
      </c>
      <c r="M33" s="80">
        <v>141</v>
      </c>
      <c r="N33" s="79">
        <v>8</v>
      </c>
      <c r="O33" s="80">
        <v>138</v>
      </c>
      <c r="P33" s="79">
        <v>7</v>
      </c>
      <c r="Q33" s="80">
        <v>139</v>
      </c>
      <c r="R33" s="79">
        <v>7</v>
      </c>
      <c r="S33" s="80">
        <v>143</v>
      </c>
      <c r="T33" s="79">
        <v>5</v>
      </c>
      <c r="U33" s="80">
        <v>143</v>
      </c>
      <c r="V33" s="79">
        <v>8</v>
      </c>
      <c r="W33" s="80">
        <f t="shared" si="0"/>
        <v>704</v>
      </c>
      <c r="X33" s="79">
        <f t="shared" si="1"/>
        <v>35</v>
      </c>
      <c r="Z33" s="78">
        <v>4.079E-2</v>
      </c>
    </row>
    <row r="34" spans="4:26" x14ac:dyDescent="0.3">
      <c r="D34" s="188"/>
      <c r="E34" s="188"/>
      <c r="F34" s="188"/>
      <c r="G34" s="188"/>
      <c r="H34" s="188"/>
      <c r="I34" s="188"/>
      <c r="J34" s="188"/>
      <c r="L34" s="81">
        <v>81</v>
      </c>
      <c r="M34" s="80">
        <v>108</v>
      </c>
      <c r="N34" s="79">
        <v>2</v>
      </c>
      <c r="O34" s="80">
        <v>106</v>
      </c>
      <c r="P34" s="79">
        <v>7</v>
      </c>
      <c r="Q34" s="80">
        <v>107</v>
      </c>
      <c r="R34" s="79">
        <v>4</v>
      </c>
      <c r="S34" s="80">
        <v>110</v>
      </c>
      <c r="T34" s="79">
        <v>4</v>
      </c>
      <c r="U34" s="80">
        <v>109</v>
      </c>
      <c r="V34" s="79">
        <v>6</v>
      </c>
      <c r="W34" s="80">
        <f t="shared" si="0"/>
        <v>540</v>
      </c>
      <c r="X34" s="79">
        <f t="shared" si="1"/>
        <v>23</v>
      </c>
      <c r="Z34" s="78">
        <v>4.5830000000000003E-2</v>
      </c>
    </row>
    <row r="35" spans="4:26" x14ac:dyDescent="0.3">
      <c r="D35" s="188"/>
      <c r="E35" s="188"/>
      <c r="F35" s="188"/>
      <c r="G35" s="188"/>
      <c r="H35" s="188"/>
      <c r="I35" s="188"/>
      <c r="J35" s="188"/>
      <c r="L35" s="81">
        <v>82</v>
      </c>
      <c r="M35" s="80">
        <v>105</v>
      </c>
      <c r="N35" s="79">
        <v>5</v>
      </c>
      <c r="O35" s="80">
        <v>103</v>
      </c>
      <c r="P35" s="79">
        <v>4</v>
      </c>
      <c r="Q35" s="80">
        <v>104</v>
      </c>
      <c r="R35" s="79">
        <v>8</v>
      </c>
      <c r="S35" s="80">
        <v>106</v>
      </c>
      <c r="T35" s="79">
        <v>7</v>
      </c>
      <c r="U35" s="80">
        <v>106</v>
      </c>
      <c r="V35" s="79">
        <v>3</v>
      </c>
      <c r="W35" s="80">
        <f t="shared" si="0"/>
        <v>524</v>
      </c>
      <c r="X35" s="79">
        <f t="shared" si="1"/>
        <v>27</v>
      </c>
      <c r="Z35" s="78">
        <v>5.1499999999999997E-2</v>
      </c>
    </row>
    <row r="36" spans="4:26" x14ac:dyDescent="0.3">
      <c r="L36" s="81">
        <v>83</v>
      </c>
      <c r="M36" s="80">
        <v>88</v>
      </c>
      <c r="N36" s="79">
        <v>7</v>
      </c>
      <c r="O36" s="80">
        <v>86</v>
      </c>
      <c r="P36" s="79">
        <v>6</v>
      </c>
      <c r="Q36" s="80">
        <v>87</v>
      </c>
      <c r="R36" s="79">
        <v>8</v>
      </c>
      <c r="S36" s="80">
        <v>89</v>
      </c>
      <c r="T36" s="79">
        <v>6</v>
      </c>
      <c r="U36" s="80">
        <v>89</v>
      </c>
      <c r="V36" s="79">
        <v>5</v>
      </c>
      <c r="W36" s="80">
        <f t="shared" si="0"/>
        <v>439</v>
      </c>
      <c r="X36" s="79">
        <f t="shared" si="1"/>
        <v>32</v>
      </c>
      <c r="Z36" s="78">
        <v>5.7869999999999998E-2</v>
      </c>
    </row>
    <row r="37" spans="4:26" x14ac:dyDescent="0.3">
      <c r="L37" s="81">
        <v>84</v>
      </c>
      <c r="M37" s="80">
        <v>75</v>
      </c>
      <c r="N37" s="79">
        <v>6</v>
      </c>
      <c r="O37" s="80">
        <v>74</v>
      </c>
      <c r="P37" s="79">
        <v>4</v>
      </c>
      <c r="Q37" s="80">
        <v>74</v>
      </c>
      <c r="R37" s="79">
        <v>7</v>
      </c>
      <c r="S37" s="80">
        <v>76</v>
      </c>
      <c r="T37" s="79">
        <v>2</v>
      </c>
      <c r="U37" s="80">
        <v>77</v>
      </c>
      <c r="V37" s="79">
        <v>4</v>
      </c>
      <c r="W37" s="80">
        <f t="shared" si="0"/>
        <v>376</v>
      </c>
      <c r="X37" s="79">
        <f t="shared" si="1"/>
        <v>23</v>
      </c>
      <c r="Z37" s="78">
        <v>6.5079999999999999E-2</v>
      </c>
    </row>
    <row r="38" spans="4:26" x14ac:dyDescent="0.3">
      <c r="L38" s="81">
        <v>85</v>
      </c>
      <c r="M38" s="80">
        <v>59</v>
      </c>
      <c r="N38" s="79">
        <v>3</v>
      </c>
      <c r="O38" s="80">
        <v>58</v>
      </c>
      <c r="P38" s="79">
        <v>6</v>
      </c>
      <c r="Q38" s="80">
        <v>59</v>
      </c>
      <c r="R38" s="79">
        <v>2</v>
      </c>
      <c r="S38" s="80">
        <v>60</v>
      </c>
      <c r="T38" s="79">
        <v>5</v>
      </c>
      <c r="U38" s="80">
        <v>60</v>
      </c>
      <c r="V38" s="79">
        <v>3</v>
      </c>
      <c r="W38" s="80">
        <f t="shared" si="0"/>
        <v>296</v>
      </c>
      <c r="X38" s="79">
        <f t="shared" si="1"/>
        <v>19</v>
      </c>
      <c r="Z38" s="78">
        <v>7.3270000000000002E-2</v>
      </c>
    </row>
    <row r="39" spans="4:26" x14ac:dyDescent="0.3">
      <c r="L39" s="81">
        <v>86</v>
      </c>
      <c r="M39" s="80">
        <v>40</v>
      </c>
      <c r="N39" s="79">
        <v>3</v>
      </c>
      <c r="O39" s="80">
        <v>39</v>
      </c>
      <c r="P39" s="79">
        <v>2</v>
      </c>
      <c r="Q39" s="80">
        <v>40</v>
      </c>
      <c r="R39" s="79">
        <v>4</v>
      </c>
      <c r="S39" s="80">
        <v>41</v>
      </c>
      <c r="T39" s="79">
        <v>5</v>
      </c>
      <c r="U39" s="80">
        <v>41</v>
      </c>
      <c r="V39" s="79">
        <v>4</v>
      </c>
      <c r="W39" s="80">
        <f t="shared" si="0"/>
        <v>201</v>
      </c>
      <c r="X39" s="79">
        <f t="shared" si="1"/>
        <v>18</v>
      </c>
      <c r="Z39" s="78">
        <v>8.2589999999999997E-2</v>
      </c>
    </row>
    <row r="40" spans="4:26" x14ac:dyDescent="0.3">
      <c r="L40" s="81">
        <v>87</v>
      </c>
      <c r="M40" s="80">
        <v>27</v>
      </c>
      <c r="N40" s="79">
        <v>0</v>
      </c>
      <c r="O40" s="80">
        <v>26</v>
      </c>
      <c r="P40" s="79">
        <v>3</v>
      </c>
      <c r="Q40" s="80">
        <v>26</v>
      </c>
      <c r="R40" s="79">
        <v>3</v>
      </c>
      <c r="S40" s="80">
        <v>27</v>
      </c>
      <c r="T40" s="79">
        <v>4</v>
      </c>
      <c r="U40" s="80">
        <v>27</v>
      </c>
      <c r="V40" s="79">
        <v>2</v>
      </c>
      <c r="W40" s="80">
        <f t="shared" si="0"/>
        <v>133</v>
      </c>
      <c r="X40" s="79">
        <f t="shared" si="1"/>
        <v>12</v>
      </c>
      <c r="Z40" s="78">
        <v>9.3100000000000002E-2</v>
      </c>
    </row>
    <row r="41" spans="4:26" x14ac:dyDescent="0.3">
      <c r="L41" s="81">
        <v>88</v>
      </c>
      <c r="M41" s="80">
        <v>18</v>
      </c>
      <c r="N41" s="79">
        <v>2</v>
      </c>
      <c r="O41" s="80">
        <v>18</v>
      </c>
      <c r="P41" s="79">
        <v>2</v>
      </c>
      <c r="Q41" s="80">
        <v>18</v>
      </c>
      <c r="R41" s="79">
        <v>4</v>
      </c>
      <c r="S41" s="80">
        <v>18</v>
      </c>
      <c r="T41" s="79">
        <v>1</v>
      </c>
      <c r="U41" s="80">
        <v>18</v>
      </c>
      <c r="V41" s="79">
        <v>3</v>
      </c>
      <c r="W41" s="80">
        <f t="shared" si="0"/>
        <v>90</v>
      </c>
      <c r="X41" s="79">
        <f t="shared" si="1"/>
        <v>12</v>
      </c>
      <c r="Z41" s="78">
        <v>0.10496999999999999</v>
      </c>
    </row>
    <row r="42" spans="4:26" x14ac:dyDescent="0.3">
      <c r="L42" s="81">
        <v>89</v>
      </c>
      <c r="M42" s="80">
        <v>14</v>
      </c>
      <c r="N42" s="79">
        <v>3</v>
      </c>
      <c r="O42" s="80">
        <v>14</v>
      </c>
      <c r="P42" s="79">
        <v>2</v>
      </c>
      <c r="Q42" s="80">
        <v>14</v>
      </c>
      <c r="R42" s="79">
        <v>2</v>
      </c>
      <c r="S42" s="80">
        <v>14</v>
      </c>
      <c r="T42" s="79">
        <v>1</v>
      </c>
      <c r="U42" s="80">
        <v>13</v>
      </c>
      <c r="V42" s="79">
        <v>0</v>
      </c>
      <c r="W42" s="80">
        <f t="shared" si="0"/>
        <v>69</v>
      </c>
      <c r="X42" s="79">
        <f t="shared" si="1"/>
        <v>8</v>
      </c>
      <c r="Z42" s="78">
        <v>0.11814</v>
      </c>
    </row>
    <row r="43" spans="4:26" x14ac:dyDescent="0.3">
      <c r="L43" s="81">
        <v>90</v>
      </c>
      <c r="M43" s="80">
        <v>15</v>
      </c>
      <c r="N43" s="79">
        <v>3</v>
      </c>
      <c r="O43" s="80">
        <v>15</v>
      </c>
      <c r="P43" s="79">
        <v>0</v>
      </c>
      <c r="Q43" s="80">
        <v>15</v>
      </c>
      <c r="R43" s="79">
        <v>2</v>
      </c>
      <c r="S43" s="80">
        <v>15</v>
      </c>
      <c r="T43" s="79">
        <v>0</v>
      </c>
      <c r="U43" s="80">
        <v>14</v>
      </c>
      <c r="V43" s="79">
        <v>3</v>
      </c>
      <c r="W43" s="80">
        <f t="shared" si="0"/>
        <v>74</v>
      </c>
      <c r="X43" s="79">
        <f t="shared" si="1"/>
        <v>8</v>
      </c>
      <c r="Z43" s="78">
        <v>0.13261999999999999</v>
      </c>
    </row>
    <row r="44" spans="4:26" x14ac:dyDescent="0.3">
      <c r="L44" s="81">
        <v>91</v>
      </c>
      <c r="M44" s="80">
        <v>11</v>
      </c>
      <c r="N44" s="79">
        <v>3</v>
      </c>
      <c r="O44" s="80">
        <v>10</v>
      </c>
      <c r="P44" s="79">
        <v>2</v>
      </c>
      <c r="Q44" s="80">
        <v>10</v>
      </c>
      <c r="R44" s="79">
        <v>1</v>
      </c>
      <c r="S44" s="80">
        <v>11</v>
      </c>
      <c r="T44" s="79">
        <v>2</v>
      </c>
      <c r="U44" s="80">
        <v>11</v>
      </c>
      <c r="V44" s="79">
        <v>1</v>
      </c>
      <c r="W44" s="80">
        <f t="shared" si="0"/>
        <v>53</v>
      </c>
      <c r="X44" s="79">
        <f t="shared" si="1"/>
        <v>9</v>
      </c>
      <c r="Z44" s="78">
        <v>0.14773</v>
      </c>
    </row>
    <row r="45" spans="4:26" x14ac:dyDescent="0.3">
      <c r="L45" s="81">
        <v>92</v>
      </c>
      <c r="M45" s="80">
        <v>8</v>
      </c>
      <c r="N45" s="79">
        <v>1</v>
      </c>
      <c r="O45" s="80">
        <v>8</v>
      </c>
      <c r="P45" s="79">
        <v>2</v>
      </c>
      <c r="Q45" s="80">
        <v>8</v>
      </c>
      <c r="R45" s="79">
        <v>1</v>
      </c>
      <c r="S45" s="80">
        <v>9</v>
      </c>
      <c r="T45" s="79">
        <v>1</v>
      </c>
      <c r="U45" s="80">
        <v>9</v>
      </c>
      <c r="V45" s="79">
        <v>3</v>
      </c>
      <c r="W45" s="80">
        <f t="shared" si="0"/>
        <v>42</v>
      </c>
      <c r="X45" s="79">
        <f t="shared" si="1"/>
        <v>8</v>
      </c>
      <c r="Z45" s="78">
        <v>0.16328999999999999</v>
      </c>
    </row>
    <row r="46" spans="4:26" x14ac:dyDescent="0.3">
      <c r="L46" s="81">
        <v>93</v>
      </c>
      <c r="M46" s="80">
        <v>3</v>
      </c>
      <c r="N46" s="79">
        <v>0</v>
      </c>
      <c r="O46" s="80">
        <v>3</v>
      </c>
      <c r="P46" s="79">
        <v>0</v>
      </c>
      <c r="Q46" s="80">
        <v>3</v>
      </c>
      <c r="R46" s="79">
        <v>1</v>
      </c>
      <c r="S46" s="80">
        <v>3</v>
      </c>
      <c r="T46" s="79">
        <v>2</v>
      </c>
      <c r="U46" s="80">
        <v>5</v>
      </c>
      <c r="V46" s="79">
        <v>1</v>
      </c>
      <c r="W46" s="80">
        <f t="shared" si="0"/>
        <v>17</v>
      </c>
      <c r="X46" s="79">
        <f t="shared" si="1"/>
        <v>4</v>
      </c>
      <c r="Z46" s="78">
        <v>0.17927000000000001</v>
      </c>
    </row>
    <row r="47" spans="4:26" x14ac:dyDescent="0.3">
      <c r="L47" s="81">
        <v>94</v>
      </c>
      <c r="M47" s="80">
        <v>2</v>
      </c>
      <c r="N47" s="79">
        <v>1</v>
      </c>
      <c r="O47" s="80">
        <v>2</v>
      </c>
      <c r="P47" s="79">
        <v>0</v>
      </c>
      <c r="Q47" s="80">
        <v>2</v>
      </c>
      <c r="R47" s="79">
        <v>0</v>
      </c>
      <c r="S47" s="80">
        <v>2</v>
      </c>
      <c r="T47" s="79">
        <v>1</v>
      </c>
      <c r="U47" s="80">
        <v>0</v>
      </c>
      <c r="V47" s="79">
        <v>0</v>
      </c>
      <c r="W47" s="80">
        <f t="shared" si="0"/>
        <v>8</v>
      </c>
      <c r="X47" s="79">
        <f t="shared" si="1"/>
        <v>2</v>
      </c>
      <c r="Z47" s="78">
        <v>0.19542000000000001</v>
      </c>
    </row>
    <row r="48" spans="4:26" x14ac:dyDescent="0.3">
      <c r="L48" s="81">
        <v>95</v>
      </c>
      <c r="M48" s="80">
        <v>2</v>
      </c>
      <c r="N48" s="79">
        <v>0</v>
      </c>
      <c r="O48" s="80">
        <v>2</v>
      </c>
      <c r="P48" s="79">
        <v>0</v>
      </c>
      <c r="Q48" s="80">
        <v>2</v>
      </c>
      <c r="R48" s="79">
        <v>2</v>
      </c>
      <c r="S48" s="80">
        <v>2</v>
      </c>
      <c r="T48" s="79">
        <v>0</v>
      </c>
      <c r="U48" s="80">
        <v>4</v>
      </c>
      <c r="V48" s="79">
        <v>1</v>
      </c>
      <c r="W48" s="80">
        <f t="shared" si="0"/>
        <v>12</v>
      </c>
      <c r="X48" s="79">
        <f t="shared" si="1"/>
        <v>3</v>
      </c>
      <c r="Z48" s="78">
        <v>0.2117</v>
      </c>
    </row>
    <row r="49" spans="12:26" x14ac:dyDescent="0.3">
      <c r="L49" s="81">
        <v>96</v>
      </c>
      <c r="M49" s="80">
        <v>2</v>
      </c>
      <c r="N49" s="79">
        <v>1</v>
      </c>
      <c r="O49" s="80">
        <v>2</v>
      </c>
      <c r="P49" s="79">
        <v>0</v>
      </c>
      <c r="Q49" s="80">
        <v>2</v>
      </c>
      <c r="R49" s="79">
        <v>1</v>
      </c>
      <c r="S49" s="80">
        <v>2</v>
      </c>
      <c r="T49" s="79">
        <v>1</v>
      </c>
      <c r="U49" s="80">
        <v>0</v>
      </c>
      <c r="V49" s="79">
        <v>0</v>
      </c>
      <c r="W49" s="80">
        <f t="shared" si="0"/>
        <v>8</v>
      </c>
      <c r="X49" s="79">
        <f t="shared" si="1"/>
        <v>3</v>
      </c>
      <c r="Z49" s="78">
        <v>0.22903999999999999</v>
      </c>
    </row>
    <row r="50" spans="12:26" x14ac:dyDescent="0.3">
      <c r="L50" s="81">
        <v>97</v>
      </c>
      <c r="M50" s="80">
        <v>2</v>
      </c>
      <c r="N50" s="79">
        <v>2</v>
      </c>
      <c r="O50" s="80">
        <v>1</v>
      </c>
      <c r="P50" s="79">
        <v>0</v>
      </c>
      <c r="Q50" s="80">
        <v>1</v>
      </c>
      <c r="R50" s="79">
        <v>0</v>
      </c>
      <c r="S50" s="80">
        <v>1</v>
      </c>
      <c r="T50" s="79">
        <v>0</v>
      </c>
      <c r="U50" s="80">
        <v>2</v>
      </c>
      <c r="V50" s="79">
        <v>1</v>
      </c>
      <c r="W50" s="80">
        <f t="shared" si="0"/>
        <v>7</v>
      </c>
      <c r="X50" s="79">
        <f t="shared" si="1"/>
        <v>3</v>
      </c>
      <c r="Z50" s="78">
        <v>0.24682000000000001</v>
      </c>
    </row>
    <row r="51" spans="12:26" x14ac:dyDescent="0.3">
      <c r="L51" s="77">
        <v>98</v>
      </c>
      <c r="M51" s="76">
        <v>1</v>
      </c>
      <c r="N51" s="75">
        <v>0</v>
      </c>
      <c r="O51" s="76">
        <v>1</v>
      </c>
      <c r="P51" s="75">
        <v>1</v>
      </c>
      <c r="Q51" s="76">
        <v>1</v>
      </c>
      <c r="R51" s="75">
        <v>0</v>
      </c>
      <c r="S51" s="76">
        <v>1</v>
      </c>
      <c r="T51" s="75">
        <v>0</v>
      </c>
      <c r="U51" s="76">
        <v>0</v>
      </c>
      <c r="V51" s="75">
        <v>0</v>
      </c>
      <c r="W51" s="76">
        <f t="shared" si="0"/>
        <v>4</v>
      </c>
      <c r="X51" s="75">
        <f t="shared" si="1"/>
        <v>1</v>
      </c>
      <c r="Z51" s="74">
        <v>0.26512999999999998</v>
      </c>
    </row>
  </sheetData>
  <mergeCells count="7">
    <mergeCell ref="W6:X6"/>
    <mergeCell ref="D6:J35"/>
    <mergeCell ref="M6:N6"/>
    <mergeCell ref="O6:P6"/>
    <mergeCell ref="Q6:R6"/>
    <mergeCell ref="S6:T6"/>
    <mergeCell ref="U6:V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702B-3392-419D-A3B6-3B7AC9EF681E}">
  <sheetPr>
    <tabColor theme="9" tint="0.59999389629810485"/>
  </sheetPr>
  <dimension ref="A1:BS75"/>
  <sheetViews>
    <sheetView zoomScale="115" zoomScaleNormal="115" workbookViewId="0"/>
  </sheetViews>
  <sheetFormatPr defaultRowHeight="14.4" x14ac:dyDescent="0.3"/>
  <cols>
    <col min="1" max="2" width="4.6640625" customWidth="1"/>
    <col min="5" max="5" width="10.44140625" bestFit="1" customWidth="1"/>
    <col min="6" max="6" width="9.33203125" customWidth="1"/>
    <col min="7" max="7" width="16.6640625" customWidth="1"/>
    <col min="8" max="8" width="4.109375" customWidth="1"/>
    <col min="9" max="9" width="19.6640625" customWidth="1"/>
    <col min="10" max="10" width="14.88671875" customWidth="1"/>
    <col min="11" max="11" width="4.44140625" customWidth="1"/>
    <col min="12" max="12" width="17.109375" customWidth="1"/>
    <col min="13" max="13" width="4.88671875" customWidth="1"/>
    <col min="14" max="14" width="15.44140625" customWidth="1"/>
    <col min="31" max="33" width="4.33203125" customWidth="1"/>
    <col min="35" max="35" width="29.33203125" customWidth="1"/>
    <col min="36" max="36" width="17" customWidth="1"/>
    <col min="37" max="41" width="10.6640625" customWidth="1"/>
    <col min="43" max="43" width="10.88671875" customWidth="1"/>
    <col min="45" max="45" width="11.44140625" customWidth="1"/>
    <col min="46" max="46" width="10.109375" customWidth="1"/>
    <col min="48" max="48" width="14.44140625" bestFit="1" customWidth="1"/>
    <col min="49" max="54" width="12.6640625" customWidth="1"/>
    <col min="55" max="55" width="4.5546875" customWidth="1"/>
    <col min="56" max="56" width="14.6640625" bestFit="1" customWidth="1"/>
  </cols>
  <sheetData>
    <row r="1" spans="1:71" x14ac:dyDescent="0.3">
      <c r="A1" s="186" t="s">
        <v>222</v>
      </c>
    </row>
    <row r="3" spans="1:71" x14ac:dyDescent="0.3">
      <c r="A3" s="1" t="s">
        <v>1</v>
      </c>
    </row>
    <row r="4" spans="1:71" x14ac:dyDescent="0.3">
      <c r="A4" t="s">
        <v>117</v>
      </c>
    </row>
    <row r="6" spans="1:71" ht="18" x14ac:dyDescent="0.35">
      <c r="AH6" s="102" t="s">
        <v>116</v>
      </c>
    </row>
    <row r="7" spans="1:71" x14ac:dyDescent="0.3">
      <c r="AH7" s="30"/>
      <c r="AI7" s="11"/>
      <c r="AJ7" s="32" t="s">
        <v>115</v>
      </c>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2"/>
    </row>
    <row r="8" spans="1:71" x14ac:dyDescent="0.3">
      <c r="AH8" s="13"/>
      <c r="AI8" s="52" t="s">
        <v>114</v>
      </c>
      <c r="AJ8" s="9" t="s">
        <v>113</v>
      </c>
      <c r="BS8" s="14"/>
    </row>
    <row r="9" spans="1:71" x14ac:dyDescent="0.3">
      <c r="AH9" s="13"/>
      <c r="AI9" s="3">
        <v>1</v>
      </c>
      <c r="AJ9" s="100">
        <f>AJ75/AW75</f>
        <v>1.1862304888746094</v>
      </c>
      <c r="AN9" s="188" t="s">
        <v>112</v>
      </c>
      <c r="AO9" s="188"/>
      <c r="AP9" s="188"/>
      <c r="AQ9" s="188"/>
      <c r="AR9" s="188"/>
      <c r="AS9" s="188"/>
      <c r="AT9" s="188"/>
      <c r="BS9" s="14"/>
    </row>
    <row r="10" spans="1:71" x14ac:dyDescent="0.3">
      <c r="AH10" s="13"/>
      <c r="AI10" s="3">
        <v>2</v>
      </c>
      <c r="AJ10" s="100">
        <f>AL75/AX75</f>
        <v>1.2506066086694625</v>
      </c>
      <c r="AN10" s="188"/>
      <c r="AO10" s="188"/>
      <c r="AP10" s="188"/>
      <c r="AQ10" s="188"/>
      <c r="AR10" s="188"/>
      <c r="AS10" s="188"/>
      <c r="AT10" s="188"/>
      <c r="BS10" s="14"/>
    </row>
    <row r="11" spans="1:71" x14ac:dyDescent="0.3">
      <c r="AH11" s="13"/>
      <c r="AI11" s="3">
        <v>3</v>
      </c>
      <c r="AJ11" s="100">
        <f>AN75/AY75</f>
        <v>1.2900765143103332</v>
      </c>
      <c r="AN11" s="188"/>
      <c r="AO11" s="188"/>
      <c r="AP11" s="188"/>
      <c r="AQ11" s="188"/>
      <c r="AR11" s="188"/>
      <c r="AS11" s="188"/>
      <c r="AT11" s="188"/>
      <c r="BS11" s="14"/>
    </row>
    <row r="12" spans="1:71" x14ac:dyDescent="0.3">
      <c r="AH12" s="13"/>
      <c r="AI12" s="3">
        <v>4</v>
      </c>
      <c r="AJ12" s="100">
        <f>AP75/AZ75</f>
        <v>1.1519826243658648</v>
      </c>
      <c r="AN12" s="188"/>
      <c r="AO12" s="188"/>
      <c r="AP12" s="188"/>
      <c r="AQ12" s="188"/>
      <c r="AR12" s="188"/>
      <c r="AS12" s="188"/>
      <c r="AT12" s="188"/>
      <c r="BS12" s="14"/>
    </row>
    <row r="13" spans="1:71" x14ac:dyDescent="0.3">
      <c r="AH13" s="13"/>
      <c r="AI13" s="3">
        <v>5</v>
      </c>
      <c r="AJ13" s="100">
        <f>AR75/BA75</f>
        <v>1.1236939165146609</v>
      </c>
      <c r="AN13" s="188"/>
      <c r="AO13" s="188"/>
      <c r="AP13" s="188"/>
      <c r="AQ13" s="188"/>
      <c r="AR13" s="188"/>
      <c r="AS13" s="188"/>
      <c r="AT13" s="188"/>
      <c r="BS13" s="14"/>
    </row>
    <row r="14" spans="1:71" x14ac:dyDescent="0.3">
      <c r="AH14" s="13"/>
      <c r="AN14" s="188"/>
      <c r="AO14" s="188"/>
      <c r="AP14" s="188"/>
      <c r="AQ14" s="188"/>
      <c r="AR14" s="188"/>
      <c r="AS14" s="188"/>
      <c r="AT14" s="188"/>
      <c r="BS14" s="14"/>
    </row>
    <row r="15" spans="1:71" ht="18" x14ac:dyDescent="0.35">
      <c r="C15" s="102" t="s">
        <v>111</v>
      </c>
      <c r="AH15" s="13"/>
      <c r="AI15" s="4" t="s">
        <v>19</v>
      </c>
      <c r="AJ15" s="100">
        <f>AVERAGE(AJ9:AJ13)</f>
        <v>1.2005180305469862</v>
      </c>
      <c r="AN15" s="188"/>
      <c r="AO15" s="188"/>
      <c r="AP15" s="188"/>
      <c r="AQ15" s="188"/>
      <c r="AR15" s="188"/>
      <c r="AS15" s="188"/>
      <c r="AT15" s="188"/>
      <c r="BS15" s="14"/>
    </row>
    <row r="16" spans="1:71" x14ac:dyDescent="0.3">
      <c r="C16" s="30"/>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c r="AH16" s="13"/>
      <c r="AI16" s="4" t="s">
        <v>110</v>
      </c>
      <c r="AJ16" s="100">
        <f>STDEV(AJ9:AJ13)^2</f>
        <v>4.74783791734479E-3</v>
      </c>
      <c r="AN16" s="188"/>
      <c r="AO16" s="188"/>
      <c r="AP16" s="188"/>
      <c r="AQ16" s="188"/>
      <c r="AR16" s="188"/>
      <c r="AS16" s="188"/>
      <c r="AT16" s="188"/>
      <c r="BS16" s="14"/>
    </row>
    <row r="17" spans="3:71" x14ac:dyDescent="0.3">
      <c r="C17" s="13"/>
      <c r="AD17" s="14"/>
      <c r="AH17" s="13"/>
      <c r="AI17" s="4"/>
      <c r="AN17" s="188"/>
      <c r="AO17" s="188"/>
      <c r="AP17" s="188"/>
      <c r="AQ17" s="188"/>
      <c r="AR17" s="188"/>
      <c r="AS17" s="188"/>
      <c r="AT17" s="188"/>
      <c r="BS17" s="14"/>
    </row>
    <row r="18" spans="3:71" x14ac:dyDescent="0.3">
      <c r="C18" s="13"/>
      <c r="I18" s="4" t="s">
        <v>109</v>
      </c>
      <c r="J18" s="99">
        <f>F75/J75</f>
        <v>1.2001946718287095</v>
      </c>
      <c r="AD18" s="14"/>
      <c r="AH18" s="13"/>
      <c r="AI18" s="4" t="s">
        <v>108</v>
      </c>
      <c r="AJ18">
        <v>9.7000000000000005E-4</v>
      </c>
      <c r="AN18" s="188"/>
      <c r="AO18" s="188"/>
      <c r="AP18" s="188"/>
      <c r="AQ18" s="188"/>
      <c r="AR18" s="188"/>
      <c r="AS18" s="188"/>
      <c r="AT18" s="188"/>
      <c r="BS18" s="14"/>
    </row>
    <row r="19" spans="3:71" x14ac:dyDescent="0.3">
      <c r="C19" s="13"/>
      <c r="I19" s="4"/>
      <c r="AD19" s="14"/>
      <c r="AH19" s="13"/>
      <c r="AI19" s="4"/>
      <c r="AN19" s="188"/>
      <c r="AO19" s="188"/>
      <c r="AP19" s="188"/>
      <c r="AQ19" s="188"/>
      <c r="AR19" s="188"/>
      <c r="AS19" s="188"/>
      <c r="AT19" s="188"/>
      <c r="BS19" s="14"/>
    </row>
    <row r="20" spans="3:71" ht="27.6" x14ac:dyDescent="0.3">
      <c r="C20" s="13"/>
      <c r="I20" s="101" t="s">
        <v>107</v>
      </c>
      <c r="J20" s="17">
        <v>1537</v>
      </c>
      <c r="AD20" s="14"/>
      <c r="AH20" s="13"/>
      <c r="AI20" s="4" t="s">
        <v>106</v>
      </c>
      <c r="AJ20" s="100">
        <f>AJ16/AJ18</f>
        <v>4.8946782653039067</v>
      </c>
      <c r="AN20" s="188"/>
      <c r="AO20" s="188"/>
      <c r="AP20" s="188"/>
      <c r="AQ20" s="188"/>
      <c r="AR20" s="188"/>
      <c r="AS20" s="188"/>
      <c r="AT20" s="188"/>
      <c r="BS20" s="14"/>
    </row>
    <row r="21" spans="3:71" x14ac:dyDescent="0.3">
      <c r="C21" s="13"/>
      <c r="I21" s="4"/>
      <c r="AD21" s="14"/>
      <c r="AH21" s="13"/>
      <c r="AI21" s="4"/>
      <c r="BS21" s="14"/>
    </row>
    <row r="22" spans="3:71" x14ac:dyDescent="0.3">
      <c r="C22" s="13"/>
      <c r="I22" s="4" t="s">
        <v>105</v>
      </c>
      <c r="J22" s="54">
        <f>(F75/J20)^0.5</f>
        <v>0.78577131834682012</v>
      </c>
      <c r="AD22" s="14"/>
      <c r="AH22" s="13"/>
      <c r="AI22" s="4" t="s">
        <v>104</v>
      </c>
      <c r="AJ22">
        <v>5</v>
      </c>
      <c r="BS22" s="14"/>
    </row>
    <row r="23" spans="3:71" x14ac:dyDescent="0.3">
      <c r="C23" s="13"/>
      <c r="I23" s="4"/>
      <c r="AD23" s="14"/>
      <c r="AH23" s="13"/>
      <c r="AI23" s="4"/>
      <c r="BS23" s="14"/>
    </row>
    <row r="24" spans="3:71" x14ac:dyDescent="0.3">
      <c r="C24" s="13"/>
      <c r="I24" s="4"/>
      <c r="J24" s="99">
        <f>J22*J18+(1-J22)</f>
        <v>1.1573072312088541</v>
      </c>
      <c r="AD24" s="14"/>
      <c r="AH24" s="13"/>
      <c r="AI24" s="4" t="s">
        <v>103</v>
      </c>
      <c r="AJ24" s="54">
        <f>AJ22/(AJ22+AJ20)</f>
        <v>0.50532214044116064</v>
      </c>
      <c r="BS24" s="14"/>
    </row>
    <row r="25" spans="3:71" x14ac:dyDescent="0.3">
      <c r="C25" s="13"/>
      <c r="AD25" s="14"/>
      <c r="AH25" s="13"/>
      <c r="BS25" s="14"/>
    </row>
    <row r="26" spans="3:71" x14ac:dyDescent="0.3">
      <c r="C26" s="13"/>
      <c r="AD26" s="14"/>
      <c r="AH26" s="13"/>
      <c r="AJ26" s="53">
        <f>AJ24*AJ15+(1-AJ24)</f>
        <v>1.1013262003930491</v>
      </c>
      <c r="BS26" s="14"/>
    </row>
    <row r="27" spans="3:71" ht="28.5" customHeight="1" x14ac:dyDescent="0.3">
      <c r="C27" s="13"/>
      <c r="AD27" s="14"/>
      <c r="AH27" s="13"/>
      <c r="BS27" s="14"/>
    </row>
    <row r="28" spans="3:71" ht="28.8" x14ac:dyDescent="0.3">
      <c r="C28" s="13"/>
      <c r="I28" s="52" t="s">
        <v>89</v>
      </c>
      <c r="AD28" s="14"/>
      <c r="AH28" s="36"/>
      <c r="AI28" s="200" t="s">
        <v>95</v>
      </c>
      <c r="AJ28" s="201"/>
      <c r="AK28" s="200" t="s">
        <v>94</v>
      </c>
      <c r="AL28" s="201"/>
      <c r="AM28" s="200" t="s">
        <v>93</v>
      </c>
      <c r="AN28" s="201"/>
      <c r="AO28" s="200" t="s">
        <v>92</v>
      </c>
      <c r="AP28" s="201"/>
      <c r="AQ28" s="200" t="s">
        <v>91</v>
      </c>
      <c r="AR28" s="201"/>
      <c r="AS28" s="200" t="s">
        <v>90</v>
      </c>
      <c r="AT28" s="201"/>
      <c r="AV28" s="63" t="s">
        <v>89</v>
      </c>
      <c r="AW28" s="32" t="s">
        <v>95</v>
      </c>
      <c r="AX28" s="32" t="s">
        <v>102</v>
      </c>
      <c r="AY28" s="32" t="s">
        <v>93</v>
      </c>
      <c r="AZ28" s="32" t="s">
        <v>92</v>
      </c>
      <c r="BA28" s="32" t="s">
        <v>91</v>
      </c>
      <c r="BB28" s="33" t="s">
        <v>90</v>
      </c>
      <c r="BC28" s="9"/>
      <c r="BD28" s="98"/>
      <c r="BS28" s="14"/>
    </row>
    <row r="29" spans="3:71" ht="45" customHeight="1" x14ac:dyDescent="0.3">
      <c r="C29" s="13"/>
      <c r="D29" s="97" t="s">
        <v>88</v>
      </c>
      <c r="E29" s="97" t="s">
        <v>87</v>
      </c>
      <c r="F29" s="96" t="s">
        <v>101</v>
      </c>
      <c r="G29" s="96" t="s">
        <v>100</v>
      </c>
      <c r="H29" s="52"/>
      <c r="I29" s="96" t="s">
        <v>85</v>
      </c>
      <c r="J29" s="96" t="s">
        <v>98</v>
      </c>
      <c r="L29" s="52" t="s">
        <v>99</v>
      </c>
      <c r="N29" s="96" t="s">
        <v>97</v>
      </c>
      <c r="AD29" s="14"/>
      <c r="AH29" s="85" t="s">
        <v>88</v>
      </c>
      <c r="AI29" s="84" t="s">
        <v>87</v>
      </c>
      <c r="AJ29" s="83" t="s">
        <v>86</v>
      </c>
      <c r="AK29" s="84" t="s">
        <v>87</v>
      </c>
      <c r="AL29" s="83" t="s">
        <v>86</v>
      </c>
      <c r="AM29" s="84" t="s">
        <v>87</v>
      </c>
      <c r="AN29" s="83" t="s">
        <v>86</v>
      </c>
      <c r="AO29" s="84" t="s">
        <v>87</v>
      </c>
      <c r="AP29" s="83" t="s">
        <v>86</v>
      </c>
      <c r="AQ29" s="84" t="s">
        <v>87</v>
      </c>
      <c r="AR29" s="83" t="s">
        <v>86</v>
      </c>
      <c r="AS29" s="84" t="s">
        <v>87</v>
      </c>
      <c r="AT29" s="83" t="s">
        <v>86</v>
      </c>
      <c r="AU29" s="96"/>
      <c r="AV29" s="84" t="s">
        <v>85</v>
      </c>
      <c r="AW29" s="96" t="s">
        <v>98</v>
      </c>
      <c r="AX29" s="96" t="s">
        <v>98</v>
      </c>
      <c r="AY29" s="96" t="s">
        <v>98</v>
      </c>
      <c r="AZ29" s="96" t="s">
        <v>98</v>
      </c>
      <c r="BA29" s="96" t="s">
        <v>98</v>
      </c>
      <c r="BB29" s="83" t="s">
        <v>98</v>
      </c>
      <c r="BC29" s="52"/>
      <c r="BD29" s="82" t="s">
        <v>97</v>
      </c>
      <c r="BS29" s="14"/>
    </row>
    <row r="30" spans="3:71" x14ac:dyDescent="0.3">
      <c r="C30" s="13"/>
      <c r="D30" s="3">
        <v>55</v>
      </c>
      <c r="E30" s="95">
        <v>2884</v>
      </c>
      <c r="F30" s="2">
        <v>6</v>
      </c>
      <c r="G30" s="94">
        <f t="shared" ref="G30:G73" si="0">F30/E30</f>
        <v>2.0804438280166435E-3</v>
      </c>
      <c r="H30" s="94"/>
      <c r="I30" s="40">
        <v>1.72E-3</v>
      </c>
      <c r="J30" s="59">
        <f t="shared" ref="J30:J73" si="1">E30*I30</f>
        <v>4.9604799999999996</v>
      </c>
      <c r="L30" s="59">
        <f t="shared" ref="L30:L73" si="2">F30/J30</f>
        <v>1.2095603651259557</v>
      </c>
      <c r="N30" s="93">
        <f t="shared" ref="N30:N73" si="3">$J$24*I30</f>
        <v>1.9905684376792291E-3</v>
      </c>
      <c r="AD30" s="14"/>
      <c r="AH30" s="81">
        <v>55</v>
      </c>
      <c r="AI30" s="80">
        <v>577</v>
      </c>
      <c r="AJ30" s="79">
        <v>1</v>
      </c>
      <c r="AK30" s="80">
        <v>565</v>
      </c>
      <c r="AL30" s="79">
        <v>0</v>
      </c>
      <c r="AM30" s="80">
        <v>571</v>
      </c>
      <c r="AN30" s="79">
        <v>2</v>
      </c>
      <c r="AO30" s="80">
        <v>584</v>
      </c>
      <c r="AP30" s="79">
        <v>1</v>
      </c>
      <c r="AQ30" s="80">
        <v>586</v>
      </c>
      <c r="AR30" s="79">
        <v>2</v>
      </c>
      <c r="AS30" s="80">
        <f t="shared" ref="AS30:AS73" si="4">AI30+AK30+AM30+AO30+AQ30</f>
        <v>2883</v>
      </c>
      <c r="AT30" s="79">
        <f t="shared" ref="AT30:AT73" si="5">AJ30+AL30+AN30+AP30+AR30</f>
        <v>6</v>
      </c>
      <c r="AU30" s="2"/>
      <c r="AV30" s="92">
        <v>1.72E-3</v>
      </c>
      <c r="AW30" s="59">
        <f t="shared" ref="AW30:AW73" si="6">AV30*AI30</f>
        <v>0.99243999999999999</v>
      </c>
      <c r="AX30" s="59">
        <f t="shared" ref="AX30:AX73" si="7">AV30*AK30</f>
        <v>0.9718</v>
      </c>
      <c r="AY30" s="59">
        <f t="shared" ref="AY30:AY73" si="8">AV30*AM30</f>
        <v>0.98211999999999999</v>
      </c>
      <c r="AZ30" s="59">
        <f t="shared" ref="AZ30:AZ73" si="9">AV30*AO30</f>
        <v>1.00448</v>
      </c>
      <c r="BA30" s="59">
        <f t="shared" ref="BA30:BA73" si="10">AV30*AQ30</f>
        <v>1.0079199999999999</v>
      </c>
      <c r="BB30" s="91">
        <f t="shared" ref="BB30:BB73" si="11">AS30*AV30</f>
        <v>4.9587599999999998</v>
      </c>
      <c r="BC30" s="59"/>
      <c r="BD30" s="90">
        <f t="shared" ref="BD30:BD73" si="12">AJ$26*AV30</f>
        <v>1.8942810646760443E-3</v>
      </c>
      <c r="BS30" s="14"/>
    </row>
    <row r="31" spans="3:71" x14ac:dyDescent="0.3">
      <c r="C31" s="13"/>
      <c r="D31" s="3">
        <v>56</v>
      </c>
      <c r="E31" s="95">
        <v>3572</v>
      </c>
      <c r="F31" s="2">
        <v>9</v>
      </c>
      <c r="G31" s="94">
        <f t="shared" si="0"/>
        <v>2.5195968645016797E-3</v>
      </c>
      <c r="H31" s="94"/>
      <c r="I31" s="40">
        <v>2.1199999999999999E-3</v>
      </c>
      <c r="J31" s="59">
        <f t="shared" si="1"/>
        <v>7.5726399999999998</v>
      </c>
      <c r="L31" s="59">
        <f t="shared" si="2"/>
        <v>1.1884890870290943</v>
      </c>
      <c r="N31" s="93">
        <f t="shared" si="3"/>
        <v>2.4534913301627707E-3</v>
      </c>
      <c r="AD31" s="14"/>
      <c r="AH31" s="81">
        <v>56</v>
      </c>
      <c r="AI31" s="80">
        <v>714</v>
      </c>
      <c r="AJ31" s="79">
        <v>1</v>
      </c>
      <c r="AK31" s="80">
        <v>700</v>
      </c>
      <c r="AL31" s="79">
        <v>3</v>
      </c>
      <c r="AM31" s="80">
        <v>707</v>
      </c>
      <c r="AN31" s="79">
        <v>2</v>
      </c>
      <c r="AO31" s="80">
        <v>725</v>
      </c>
      <c r="AP31" s="79">
        <v>1</v>
      </c>
      <c r="AQ31" s="80">
        <v>726</v>
      </c>
      <c r="AR31" s="79">
        <v>2</v>
      </c>
      <c r="AS31" s="80">
        <f t="shared" si="4"/>
        <v>3572</v>
      </c>
      <c r="AT31" s="79">
        <f t="shared" si="5"/>
        <v>9</v>
      </c>
      <c r="AU31" s="2"/>
      <c r="AV31" s="92">
        <v>2.1199999999999999E-3</v>
      </c>
      <c r="AW31" s="59">
        <f t="shared" si="6"/>
        <v>1.5136799999999999</v>
      </c>
      <c r="AX31" s="59">
        <f t="shared" si="7"/>
        <v>1.484</v>
      </c>
      <c r="AY31" s="59">
        <f t="shared" si="8"/>
        <v>1.49884</v>
      </c>
      <c r="AZ31" s="59">
        <f t="shared" si="9"/>
        <v>1.5369999999999999</v>
      </c>
      <c r="BA31" s="59">
        <f t="shared" si="10"/>
        <v>1.53912</v>
      </c>
      <c r="BB31" s="91">
        <f t="shared" si="11"/>
        <v>7.5726399999999998</v>
      </c>
      <c r="BC31" s="59"/>
      <c r="BD31" s="90">
        <f t="shared" si="12"/>
        <v>2.334811544833264E-3</v>
      </c>
      <c r="BS31" s="14"/>
    </row>
    <row r="32" spans="3:71" x14ac:dyDescent="0.3">
      <c r="C32" s="13"/>
      <c r="D32" s="3">
        <v>57</v>
      </c>
      <c r="E32" s="95">
        <v>3688</v>
      </c>
      <c r="F32" s="2">
        <v>15</v>
      </c>
      <c r="G32" s="94">
        <f t="shared" si="0"/>
        <v>4.0672451193058566E-3</v>
      </c>
      <c r="H32" s="94"/>
      <c r="I32" s="40">
        <v>2.4599999999999999E-3</v>
      </c>
      <c r="J32" s="59">
        <f t="shared" si="1"/>
        <v>9.0724800000000005</v>
      </c>
      <c r="L32" s="59">
        <f t="shared" si="2"/>
        <v>1.6533516745145758</v>
      </c>
      <c r="N32" s="93">
        <f t="shared" si="3"/>
        <v>2.846975788773781E-3</v>
      </c>
      <c r="AD32" s="14"/>
      <c r="AH32" s="81">
        <v>57</v>
      </c>
      <c r="AI32" s="80">
        <v>738</v>
      </c>
      <c r="AJ32" s="79">
        <v>4</v>
      </c>
      <c r="AK32" s="80">
        <v>723</v>
      </c>
      <c r="AL32" s="79">
        <v>2</v>
      </c>
      <c r="AM32" s="80">
        <v>730</v>
      </c>
      <c r="AN32" s="79">
        <v>3</v>
      </c>
      <c r="AO32" s="80">
        <v>749</v>
      </c>
      <c r="AP32" s="79">
        <v>4</v>
      </c>
      <c r="AQ32" s="80">
        <v>748</v>
      </c>
      <c r="AR32" s="79">
        <v>2</v>
      </c>
      <c r="AS32" s="80">
        <f t="shared" si="4"/>
        <v>3688</v>
      </c>
      <c r="AT32" s="79">
        <f t="shared" si="5"/>
        <v>15</v>
      </c>
      <c r="AU32" s="2"/>
      <c r="AV32" s="92">
        <v>2.4599999999999999E-3</v>
      </c>
      <c r="AW32" s="59">
        <f t="shared" si="6"/>
        <v>1.81548</v>
      </c>
      <c r="AX32" s="59">
        <f t="shared" si="7"/>
        <v>1.77858</v>
      </c>
      <c r="AY32" s="59">
        <f t="shared" si="8"/>
        <v>1.7958000000000001</v>
      </c>
      <c r="AZ32" s="59">
        <f t="shared" si="9"/>
        <v>1.8425400000000001</v>
      </c>
      <c r="BA32" s="59">
        <f t="shared" si="10"/>
        <v>1.8400799999999999</v>
      </c>
      <c r="BB32" s="91">
        <f t="shared" si="11"/>
        <v>9.0724800000000005</v>
      </c>
      <c r="BC32" s="59"/>
      <c r="BD32" s="90">
        <f t="shared" si="12"/>
        <v>2.7092624529669006E-3</v>
      </c>
      <c r="BS32" s="14"/>
    </row>
    <row r="33" spans="3:71" x14ac:dyDescent="0.3">
      <c r="C33" s="13"/>
      <c r="D33" s="3">
        <v>58</v>
      </c>
      <c r="E33" s="95">
        <v>3524</v>
      </c>
      <c r="F33" s="2">
        <v>18</v>
      </c>
      <c r="G33" s="94">
        <f t="shared" si="0"/>
        <v>5.1078320090805901E-3</v>
      </c>
      <c r="H33" s="94"/>
      <c r="I33" s="40">
        <v>2.8500000000000001E-3</v>
      </c>
      <c r="J33" s="59">
        <f t="shared" si="1"/>
        <v>10.0434</v>
      </c>
      <c r="L33" s="59">
        <f t="shared" si="2"/>
        <v>1.7922217575721369</v>
      </c>
      <c r="N33" s="93">
        <f t="shared" si="3"/>
        <v>3.2983256089452345E-3</v>
      </c>
      <c r="AD33" s="14"/>
      <c r="AH33" s="81">
        <v>58</v>
      </c>
      <c r="AI33" s="80">
        <v>705</v>
      </c>
      <c r="AJ33" s="79">
        <v>3</v>
      </c>
      <c r="AK33" s="80">
        <v>691</v>
      </c>
      <c r="AL33" s="79">
        <v>5</v>
      </c>
      <c r="AM33" s="80">
        <v>698</v>
      </c>
      <c r="AN33" s="79">
        <v>4</v>
      </c>
      <c r="AO33" s="80">
        <v>715</v>
      </c>
      <c r="AP33" s="79">
        <v>2</v>
      </c>
      <c r="AQ33" s="80">
        <v>715</v>
      </c>
      <c r="AR33" s="79">
        <v>4</v>
      </c>
      <c r="AS33" s="80">
        <f t="shared" si="4"/>
        <v>3524</v>
      </c>
      <c r="AT33" s="79">
        <f t="shared" si="5"/>
        <v>18</v>
      </c>
      <c r="AU33" s="2"/>
      <c r="AV33" s="92">
        <v>2.8500000000000001E-3</v>
      </c>
      <c r="AW33" s="59">
        <f t="shared" si="6"/>
        <v>2.0092500000000002</v>
      </c>
      <c r="AX33" s="59">
        <f t="shared" si="7"/>
        <v>1.9693500000000002</v>
      </c>
      <c r="AY33" s="59">
        <f t="shared" si="8"/>
        <v>1.9893000000000001</v>
      </c>
      <c r="AZ33" s="59">
        <f t="shared" si="9"/>
        <v>2.03775</v>
      </c>
      <c r="BA33" s="59">
        <f t="shared" si="10"/>
        <v>2.03775</v>
      </c>
      <c r="BB33" s="91">
        <f t="shared" si="11"/>
        <v>10.0434</v>
      </c>
      <c r="BC33" s="59"/>
      <c r="BD33" s="90">
        <f t="shared" si="12"/>
        <v>3.1387796711201898E-3</v>
      </c>
      <c r="BS33" s="14"/>
    </row>
    <row r="34" spans="3:71" x14ac:dyDescent="0.3">
      <c r="C34" s="13"/>
      <c r="D34" s="3">
        <v>59</v>
      </c>
      <c r="E34" s="95">
        <v>3604</v>
      </c>
      <c r="F34" s="2">
        <v>14</v>
      </c>
      <c r="G34" s="94">
        <f t="shared" si="0"/>
        <v>3.8845726970033298E-3</v>
      </c>
      <c r="H34" s="94"/>
      <c r="I34" s="40">
        <v>3.2799999999999999E-3</v>
      </c>
      <c r="J34" s="59">
        <f t="shared" si="1"/>
        <v>11.821120000000001</v>
      </c>
      <c r="L34" s="59">
        <f t="shared" si="2"/>
        <v>1.1843209442083322</v>
      </c>
      <c r="N34" s="93">
        <f t="shared" si="3"/>
        <v>3.7959677183650414E-3</v>
      </c>
      <c r="AD34" s="14"/>
      <c r="AH34" s="81">
        <v>59</v>
      </c>
      <c r="AI34" s="80">
        <v>721</v>
      </c>
      <c r="AJ34" s="79">
        <v>1</v>
      </c>
      <c r="AK34" s="80">
        <v>707</v>
      </c>
      <c r="AL34" s="79">
        <v>3</v>
      </c>
      <c r="AM34" s="80">
        <v>714</v>
      </c>
      <c r="AN34" s="79">
        <v>5</v>
      </c>
      <c r="AO34" s="80">
        <v>732</v>
      </c>
      <c r="AP34" s="79">
        <v>2</v>
      </c>
      <c r="AQ34" s="80">
        <v>730</v>
      </c>
      <c r="AR34" s="79">
        <v>3</v>
      </c>
      <c r="AS34" s="80">
        <f t="shared" si="4"/>
        <v>3604</v>
      </c>
      <c r="AT34" s="79">
        <f t="shared" si="5"/>
        <v>14</v>
      </c>
      <c r="AU34" s="2"/>
      <c r="AV34" s="92">
        <v>3.2799999999999999E-3</v>
      </c>
      <c r="AW34" s="59">
        <f t="shared" si="6"/>
        <v>2.3648799999999999</v>
      </c>
      <c r="AX34" s="59">
        <f t="shared" si="7"/>
        <v>2.3189600000000001</v>
      </c>
      <c r="AY34" s="59">
        <f t="shared" si="8"/>
        <v>2.34192</v>
      </c>
      <c r="AZ34" s="59">
        <f t="shared" si="9"/>
        <v>2.40096</v>
      </c>
      <c r="BA34" s="59">
        <f t="shared" si="10"/>
        <v>2.3944000000000001</v>
      </c>
      <c r="BB34" s="91">
        <f t="shared" si="11"/>
        <v>11.821120000000001</v>
      </c>
      <c r="BC34" s="59"/>
      <c r="BD34" s="90">
        <f t="shared" si="12"/>
        <v>3.6123499372892011E-3</v>
      </c>
      <c r="BS34" s="14"/>
    </row>
    <row r="35" spans="3:71" x14ac:dyDescent="0.3">
      <c r="C35" s="13"/>
      <c r="D35" s="3">
        <v>60</v>
      </c>
      <c r="E35" s="95">
        <v>3620</v>
      </c>
      <c r="F35" s="2">
        <v>15</v>
      </c>
      <c r="G35" s="94">
        <f t="shared" si="0"/>
        <v>4.1436464088397788E-3</v>
      </c>
      <c r="H35" s="94"/>
      <c r="I35" s="40">
        <v>3.79E-3</v>
      </c>
      <c r="J35" s="59">
        <f t="shared" si="1"/>
        <v>13.719799999999999</v>
      </c>
      <c r="L35" s="59">
        <f t="shared" si="2"/>
        <v>1.0933103981107597</v>
      </c>
      <c r="N35" s="93">
        <f t="shared" si="3"/>
        <v>4.3861944062815574E-3</v>
      </c>
      <c r="AD35" s="14"/>
      <c r="AH35" s="81">
        <v>60</v>
      </c>
      <c r="AI35" s="80">
        <v>724</v>
      </c>
      <c r="AJ35" s="79">
        <v>3</v>
      </c>
      <c r="AK35" s="80">
        <v>710</v>
      </c>
      <c r="AL35" s="79">
        <v>4</v>
      </c>
      <c r="AM35" s="80">
        <v>717</v>
      </c>
      <c r="AN35" s="79">
        <v>5</v>
      </c>
      <c r="AO35" s="80">
        <v>735</v>
      </c>
      <c r="AP35" s="79">
        <v>2</v>
      </c>
      <c r="AQ35" s="80">
        <v>734</v>
      </c>
      <c r="AR35" s="79">
        <v>1</v>
      </c>
      <c r="AS35" s="80">
        <f t="shared" si="4"/>
        <v>3620</v>
      </c>
      <c r="AT35" s="79">
        <f t="shared" si="5"/>
        <v>15</v>
      </c>
      <c r="AU35" s="2"/>
      <c r="AV35" s="92">
        <v>3.79E-3</v>
      </c>
      <c r="AW35" s="59">
        <f t="shared" si="6"/>
        <v>2.74396</v>
      </c>
      <c r="AX35" s="59">
        <f t="shared" si="7"/>
        <v>2.6909000000000001</v>
      </c>
      <c r="AY35" s="59">
        <f t="shared" si="8"/>
        <v>2.7174299999999998</v>
      </c>
      <c r="AZ35" s="59">
        <f t="shared" si="9"/>
        <v>2.78565</v>
      </c>
      <c r="BA35" s="59">
        <f t="shared" si="10"/>
        <v>2.78186</v>
      </c>
      <c r="BB35" s="91">
        <f t="shared" si="11"/>
        <v>13.719799999999999</v>
      </c>
      <c r="BC35" s="59"/>
      <c r="BD35" s="90">
        <f t="shared" si="12"/>
        <v>4.1740262994896561E-3</v>
      </c>
      <c r="BS35" s="14"/>
    </row>
    <row r="36" spans="3:71" x14ac:dyDescent="0.3">
      <c r="C36" s="13"/>
      <c r="D36" s="3">
        <v>61</v>
      </c>
      <c r="E36" s="95">
        <v>3535</v>
      </c>
      <c r="F36" s="2">
        <v>15</v>
      </c>
      <c r="G36" s="94">
        <f t="shared" si="0"/>
        <v>4.2432814710042432E-3</v>
      </c>
      <c r="H36" s="94"/>
      <c r="I36" s="40">
        <v>4.3299999999999996E-3</v>
      </c>
      <c r="J36" s="59">
        <f t="shared" si="1"/>
        <v>15.306549999999998</v>
      </c>
      <c r="L36" s="59">
        <f t="shared" si="2"/>
        <v>0.97997262609797775</v>
      </c>
      <c r="N36" s="93">
        <f t="shared" si="3"/>
        <v>5.0111403111343378E-3</v>
      </c>
      <c r="AD36" s="14"/>
      <c r="AH36" s="81">
        <v>61</v>
      </c>
      <c r="AI36" s="80">
        <v>707</v>
      </c>
      <c r="AJ36" s="79">
        <v>3</v>
      </c>
      <c r="AK36" s="80">
        <v>693</v>
      </c>
      <c r="AL36" s="79">
        <v>2</v>
      </c>
      <c r="AM36" s="80">
        <v>700</v>
      </c>
      <c r="AN36" s="79">
        <v>3</v>
      </c>
      <c r="AO36" s="80">
        <v>718</v>
      </c>
      <c r="AP36" s="79">
        <v>3</v>
      </c>
      <c r="AQ36" s="80">
        <v>717</v>
      </c>
      <c r="AR36" s="79">
        <v>4</v>
      </c>
      <c r="AS36" s="80">
        <f t="shared" si="4"/>
        <v>3535</v>
      </c>
      <c r="AT36" s="79">
        <f t="shared" si="5"/>
        <v>15</v>
      </c>
      <c r="AU36" s="2"/>
      <c r="AV36" s="92">
        <v>4.3299999999999996E-3</v>
      </c>
      <c r="AW36" s="59">
        <f t="shared" si="6"/>
        <v>3.0613099999999998</v>
      </c>
      <c r="AX36" s="59">
        <f t="shared" si="7"/>
        <v>3.0006899999999996</v>
      </c>
      <c r="AY36" s="59">
        <f t="shared" si="8"/>
        <v>3.0309999999999997</v>
      </c>
      <c r="AZ36" s="59">
        <f t="shared" si="9"/>
        <v>3.1089399999999996</v>
      </c>
      <c r="BA36" s="59">
        <f t="shared" si="10"/>
        <v>3.1046099999999996</v>
      </c>
      <c r="BB36" s="91">
        <f t="shared" si="11"/>
        <v>15.306549999999998</v>
      </c>
      <c r="BC36" s="59"/>
      <c r="BD36" s="90">
        <f t="shared" si="12"/>
        <v>4.7687424477019019E-3</v>
      </c>
      <c r="BS36" s="14"/>
    </row>
    <row r="37" spans="3:71" x14ac:dyDescent="0.3">
      <c r="C37" s="13"/>
      <c r="D37" s="3">
        <v>62</v>
      </c>
      <c r="E37" s="95">
        <v>3667</v>
      </c>
      <c r="F37" s="2">
        <v>27</v>
      </c>
      <c r="G37" s="94">
        <f t="shared" si="0"/>
        <v>7.362967002999727E-3</v>
      </c>
      <c r="H37" s="94"/>
      <c r="I37" s="40">
        <v>5.1200000000000004E-3</v>
      </c>
      <c r="J37" s="59">
        <f t="shared" si="1"/>
        <v>18.775040000000001</v>
      </c>
      <c r="L37" s="59">
        <f t="shared" si="2"/>
        <v>1.4380794927733842</v>
      </c>
      <c r="N37" s="93">
        <f t="shared" si="3"/>
        <v>5.9254130237893334E-3</v>
      </c>
      <c r="AD37" s="14"/>
      <c r="AH37" s="81">
        <v>62</v>
      </c>
      <c r="AI37" s="80">
        <v>733</v>
      </c>
      <c r="AJ37" s="79">
        <v>4</v>
      </c>
      <c r="AK37" s="80">
        <v>719</v>
      </c>
      <c r="AL37" s="79">
        <v>4</v>
      </c>
      <c r="AM37" s="80">
        <v>726</v>
      </c>
      <c r="AN37" s="79">
        <v>6</v>
      </c>
      <c r="AO37" s="80">
        <v>744</v>
      </c>
      <c r="AP37" s="79">
        <v>10</v>
      </c>
      <c r="AQ37" s="80">
        <v>745</v>
      </c>
      <c r="AR37" s="79">
        <v>3</v>
      </c>
      <c r="AS37" s="80">
        <f t="shared" si="4"/>
        <v>3667</v>
      </c>
      <c r="AT37" s="79">
        <f t="shared" si="5"/>
        <v>27</v>
      </c>
      <c r="AU37" s="2"/>
      <c r="AV37" s="92">
        <v>5.1200000000000004E-3</v>
      </c>
      <c r="AW37" s="59">
        <f t="shared" si="6"/>
        <v>3.7529600000000003</v>
      </c>
      <c r="AX37" s="59">
        <f t="shared" si="7"/>
        <v>3.6812800000000001</v>
      </c>
      <c r="AY37" s="59">
        <f t="shared" si="8"/>
        <v>3.7171200000000004</v>
      </c>
      <c r="AZ37" s="59">
        <f t="shared" si="9"/>
        <v>3.8092800000000002</v>
      </c>
      <c r="BA37" s="59">
        <f t="shared" si="10"/>
        <v>3.8144000000000005</v>
      </c>
      <c r="BB37" s="91">
        <f t="shared" si="11"/>
        <v>18.775040000000001</v>
      </c>
      <c r="BC37" s="59"/>
      <c r="BD37" s="90">
        <f t="shared" si="12"/>
        <v>5.6387901460124117E-3</v>
      </c>
      <c r="BS37" s="14"/>
    </row>
    <row r="38" spans="3:71" x14ac:dyDescent="0.3">
      <c r="C38" s="13"/>
      <c r="D38" s="3">
        <v>63</v>
      </c>
      <c r="E38" s="95">
        <v>3233</v>
      </c>
      <c r="F38" s="2">
        <v>32</v>
      </c>
      <c r="G38" s="94">
        <f t="shared" si="0"/>
        <v>9.8979276214042691E-3</v>
      </c>
      <c r="H38" s="94"/>
      <c r="I38" s="40">
        <v>5.9100000000000003E-3</v>
      </c>
      <c r="J38" s="59">
        <f t="shared" si="1"/>
        <v>19.107030000000002</v>
      </c>
      <c r="L38" s="59">
        <f t="shared" si="2"/>
        <v>1.6747762472765257</v>
      </c>
      <c r="N38" s="93">
        <f t="shared" si="3"/>
        <v>6.8396857364443281E-3</v>
      </c>
      <c r="AD38" s="14"/>
      <c r="AH38" s="81">
        <v>63</v>
      </c>
      <c r="AI38" s="80">
        <v>647</v>
      </c>
      <c r="AJ38" s="79">
        <v>7</v>
      </c>
      <c r="AK38" s="80">
        <v>634</v>
      </c>
      <c r="AL38" s="79">
        <v>10</v>
      </c>
      <c r="AM38" s="80">
        <v>640</v>
      </c>
      <c r="AN38" s="79">
        <v>6</v>
      </c>
      <c r="AO38" s="80">
        <v>656</v>
      </c>
      <c r="AP38" s="79">
        <v>4</v>
      </c>
      <c r="AQ38" s="80">
        <v>656</v>
      </c>
      <c r="AR38" s="79">
        <v>5</v>
      </c>
      <c r="AS38" s="80">
        <f t="shared" si="4"/>
        <v>3233</v>
      </c>
      <c r="AT38" s="79">
        <f t="shared" si="5"/>
        <v>32</v>
      </c>
      <c r="AU38" s="2"/>
      <c r="AV38" s="92">
        <v>5.9100000000000003E-3</v>
      </c>
      <c r="AW38" s="59">
        <f t="shared" si="6"/>
        <v>3.8237700000000001</v>
      </c>
      <c r="AX38" s="59">
        <f t="shared" si="7"/>
        <v>3.7469400000000004</v>
      </c>
      <c r="AY38" s="59">
        <f t="shared" si="8"/>
        <v>3.7824</v>
      </c>
      <c r="AZ38" s="59">
        <f t="shared" si="9"/>
        <v>3.8769600000000004</v>
      </c>
      <c r="BA38" s="59">
        <f t="shared" si="10"/>
        <v>3.8769600000000004</v>
      </c>
      <c r="BB38" s="91">
        <f t="shared" si="11"/>
        <v>19.107030000000002</v>
      </c>
      <c r="BC38" s="59"/>
      <c r="BD38" s="90">
        <f t="shared" si="12"/>
        <v>6.5088378443229206E-3</v>
      </c>
      <c r="BS38" s="14"/>
    </row>
    <row r="39" spans="3:71" x14ac:dyDescent="0.3">
      <c r="C39" s="13"/>
      <c r="D39" s="3">
        <v>64</v>
      </c>
      <c r="E39" s="95">
        <v>3206</v>
      </c>
      <c r="F39" s="2">
        <v>20</v>
      </c>
      <c r="G39" s="94">
        <f t="shared" si="0"/>
        <v>6.238303181534623E-3</v>
      </c>
      <c r="H39" s="94"/>
      <c r="I39" s="40">
        <v>6.5599999999999999E-3</v>
      </c>
      <c r="J39" s="59">
        <f t="shared" si="1"/>
        <v>21.031359999999999</v>
      </c>
      <c r="L39" s="59">
        <f t="shared" si="2"/>
        <v>0.95096085084369253</v>
      </c>
      <c r="N39" s="93">
        <f t="shared" si="3"/>
        <v>7.5919354367300828E-3</v>
      </c>
      <c r="AD39" s="14"/>
      <c r="AH39" s="81">
        <v>64</v>
      </c>
      <c r="AI39" s="80">
        <v>641</v>
      </c>
      <c r="AJ39" s="79">
        <v>5</v>
      </c>
      <c r="AK39" s="80">
        <v>629</v>
      </c>
      <c r="AL39" s="79">
        <v>6</v>
      </c>
      <c r="AM39" s="80">
        <v>635</v>
      </c>
      <c r="AN39" s="79">
        <v>4</v>
      </c>
      <c r="AO39" s="80">
        <v>651</v>
      </c>
      <c r="AP39" s="79">
        <v>3</v>
      </c>
      <c r="AQ39" s="80">
        <v>650</v>
      </c>
      <c r="AR39" s="79">
        <v>2</v>
      </c>
      <c r="AS39" s="80">
        <f t="shared" si="4"/>
        <v>3206</v>
      </c>
      <c r="AT39" s="79">
        <f t="shared" si="5"/>
        <v>20</v>
      </c>
      <c r="AU39" s="2"/>
      <c r="AV39" s="92">
        <v>6.5599999999999999E-3</v>
      </c>
      <c r="AW39" s="59">
        <f t="shared" si="6"/>
        <v>4.2049599999999998</v>
      </c>
      <c r="AX39" s="59">
        <f t="shared" si="7"/>
        <v>4.1262400000000001</v>
      </c>
      <c r="AY39" s="59">
        <f t="shared" si="8"/>
        <v>4.1655999999999995</v>
      </c>
      <c r="AZ39" s="59">
        <f t="shared" si="9"/>
        <v>4.2705599999999997</v>
      </c>
      <c r="BA39" s="59">
        <f t="shared" si="10"/>
        <v>4.2640000000000002</v>
      </c>
      <c r="BB39" s="91">
        <f t="shared" si="11"/>
        <v>21.031359999999999</v>
      </c>
      <c r="BC39" s="59"/>
      <c r="BD39" s="90">
        <f t="shared" si="12"/>
        <v>7.2246998745784021E-3</v>
      </c>
      <c r="BS39" s="14"/>
    </row>
    <row r="40" spans="3:71" x14ac:dyDescent="0.3">
      <c r="C40" s="13"/>
      <c r="D40" s="3">
        <v>65</v>
      </c>
      <c r="E40" s="95">
        <v>3096</v>
      </c>
      <c r="F40" s="2">
        <v>32</v>
      </c>
      <c r="G40" s="94">
        <f t="shared" si="0"/>
        <v>1.0335917312661499E-2</v>
      </c>
      <c r="H40" s="94"/>
      <c r="I40" s="40">
        <v>7.4000000000000003E-3</v>
      </c>
      <c r="J40" s="59">
        <f t="shared" si="1"/>
        <v>22.910400000000003</v>
      </c>
      <c r="L40" s="59">
        <f t="shared" si="2"/>
        <v>1.3967455827920943</v>
      </c>
      <c r="N40" s="93">
        <f t="shared" si="3"/>
        <v>8.5640735109455204E-3</v>
      </c>
      <c r="AD40" s="14"/>
      <c r="AH40" s="81">
        <v>65</v>
      </c>
      <c r="AI40" s="80">
        <v>619</v>
      </c>
      <c r="AJ40" s="79">
        <v>5</v>
      </c>
      <c r="AK40" s="80">
        <v>607</v>
      </c>
      <c r="AL40" s="79">
        <v>6</v>
      </c>
      <c r="AM40" s="80">
        <v>613</v>
      </c>
      <c r="AN40" s="79">
        <v>10</v>
      </c>
      <c r="AO40" s="80">
        <v>628</v>
      </c>
      <c r="AP40" s="79">
        <v>3</v>
      </c>
      <c r="AQ40" s="80">
        <v>629</v>
      </c>
      <c r="AR40" s="79">
        <v>8</v>
      </c>
      <c r="AS40" s="80">
        <f t="shared" si="4"/>
        <v>3096</v>
      </c>
      <c r="AT40" s="79">
        <f t="shared" si="5"/>
        <v>32</v>
      </c>
      <c r="AU40" s="2"/>
      <c r="AV40" s="92">
        <v>7.4000000000000003E-3</v>
      </c>
      <c r="AW40" s="59">
        <f t="shared" si="6"/>
        <v>4.5806000000000004</v>
      </c>
      <c r="AX40" s="59">
        <f t="shared" si="7"/>
        <v>4.4918000000000005</v>
      </c>
      <c r="AY40" s="59">
        <f t="shared" si="8"/>
        <v>4.5362</v>
      </c>
      <c r="AZ40" s="59">
        <f t="shared" si="9"/>
        <v>4.6471999999999998</v>
      </c>
      <c r="BA40" s="59">
        <f t="shared" si="10"/>
        <v>4.6546000000000003</v>
      </c>
      <c r="BB40" s="91">
        <f t="shared" si="11"/>
        <v>22.910400000000003</v>
      </c>
      <c r="BC40" s="59"/>
      <c r="BD40" s="90">
        <f t="shared" si="12"/>
        <v>8.1498138829085628E-3</v>
      </c>
      <c r="BS40" s="14"/>
    </row>
    <row r="41" spans="3:71" x14ac:dyDescent="0.3">
      <c r="C41" s="13"/>
      <c r="D41" s="3">
        <v>66</v>
      </c>
      <c r="E41" s="95">
        <v>3275</v>
      </c>
      <c r="F41" s="2">
        <v>37</v>
      </c>
      <c r="G41" s="94">
        <f t="shared" si="0"/>
        <v>1.1297709923664122E-2</v>
      </c>
      <c r="H41" s="94"/>
      <c r="I41" s="40">
        <v>8.3199999999999993E-3</v>
      </c>
      <c r="J41" s="59">
        <f t="shared" si="1"/>
        <v>27.247999999999998</v>
      </c>
      <c r="L41" s="59">
        <f t="shared" si="2"/>
        <v>1.3578978273634763</v>
      </c>
      <c r="N41" s="93">
        <f t="shared" si="3"/>
        <v>9.6287961636576658E-3</v>
      </c>
      <c r="AD41" s="14"/>
      <c r="AH41" s="81">
        <v>66</v>
      </c>
      <c r="AI41" s="80">
        <v>655</v>
      </c>
      <c r="AJ41" s="79">
        <v>4</v>
      </c>
      <c r="AK41" s="80">
        <v>642</v>
      </c>
      <c r="AL41" s="79">
        <v>9</v>
      </c>
      <c r="AM41" s="80">
        <v>649</v>
      </c>
      <c r="AN41" s="79">
        <v>8</v>
      </c>
      <c r="AO41" s="80">
        <v>665</v>
      </c>
      <c r="AP41" s="79">
        <v>7</v>
      </c>
      <c r="AQ41" s="80">
        <v>664</v>
      </c>
      <c r="AR41" s="79">
        <v>9</v>
      </c>
      <c r="AS41" s="80">
        <f t="shared" si="4"/>
        <v>3275</v>
      </c>
      <c r="AT41" s="79">
        <f t="shared" si="5"/>
        <v>37</v>
      </c>
      <c r="AU41" s="2"/>
      <c r="AV41" s="92">
        <v>8.3199999999999993E-3</v>
      </c>
      <c r="AW41" s="59">
        <f t="shared" si="6"/>
        <v>5.4495999999999993</v>
      </c>
      <c r="AX41" s="59">
        <f t="shared" si="7"/>
        <v>5.3414399999999995</v>
      </c>
      <c r="AY41" s="59">
        <f t="shared" si="8"/>
        <v>5.3996799999999991</v>
      </c>
      <c r="AZ41" s="59">
        <f t="shared" si="9"/>
        <v>5.5327999999999999</v>
      </c>
      <c r="BA41" s="59">
        <f t="shared" si="10"/>
        <v>5.5244799999999996</v>
      </c>
      <c r="BB41" s="91">
        <f t="shared" si="11"/>
        <v>27.247999999999998</v>
      </c>
      <c r="BC41" s="59"/>
      <c r="BD41" s="90">
        <f t="shared" si="12"/>
        <v>9.1630339872701676E-3</v>
      </c>
      <c r="BS41" s="14"/>
    </row>
    <row r="42" spans="3:71" x14ac:dyDescent="0.3">
      <c r="C42" s="13"/>
      <c r="D42" s="3">
        <v>67</v>
      </c>
      <c r="E42" s="95">
        <v>3154</v>
      </c>
      <c r="F42" s="2">
        <v>31</v>
      </c>
      <c r="G42" s="94">
        <f t="shared" si="0"/>
        <v>9.8287888395688014E-3</v>
      </c>
      <c r="H42" s="94"/>
      <c r="I42" s="40">
        <v>9.1999999999999998E-3</v>
      </c>
      <c r="J42" s="59">
        <f t="shared" si="1"/>
        <v>29.0168</v>
      </c>
      <c r="L42" s="59">
        <f t="shared" si="2"/>
        <v>1.0683466129966088</v>
      </c>
      <c r="N42" s="93">
        <f t="shared" si="3"/>
        <v>1.0647226527121459E-2</v>
      </c>
      <c r="AD42" s="14"/>
      <c r="AH42" s="81">
        <v>67</v>
      </c>
      <c r="AI42" s="80">
        <v>631</v>
      </c>
      <c r="AJ42" s="79">
        <v>9</v>
      </c>
      <c r="AK42" s="80">
        <v>618</v>
      </c>
      <c r="AL42" s="79">
        <v>5</v>
      </c>
      <c r="AM42" s="80">
        <v>625</v>
      </c>
      <c r="AN42" s="79">
        <v>7</v>
      </c>
      <c r="AO42" s="80">
        <v>640</v>
      </c>
      <c r="AP42" s="79">
        <v>4</v>
      </c>
      <c r="AQ42" s="80">
        <v>640</v>
      </c>
      <c r="AR42" s="79">
        <v>6</v>
      </c>
      <c r="AS42" s="80">
        <f t="shared" si="4"/>
        <v>3154</v>
      </c>
      <c r="AT42" s="79">
        <f t="shared" si="5"/>
        <v>31</v>
      </c>
      <c r="AU42" s="2"/>
      <c r="AV42" s="92">
        <v>9.1999999999999998E-3</v>
      </c>
      <c r="AW42" s="59">
        <f t="shared" si="6"/>
        <v>5.8052000000000001</v>
      </c>
      <c r="AX42" s="59">
        <f t="shared" si="7"/>
        <v>5.6856</v>
      </c>
      <c r="AY42" s="59">
        <f t="shared" si="8"/>
        <v>5.75</v>
      </c>
      <c r="AZ42" s="59">
        <f t="shared" si="9"/>
        <v>5.8879999999999999</v>
      </c>
      <c r="BA42" s="59">
        <f t="shared" si="10"/>
        <v>5.8879999999999999</v>
      </c>
      <c r="BB42" s="91">
        <f t="shared" si="11"/>
        <v>29.0168</v>
      </c>
      <c r="BC42" s="59"/>
      <c r="BD42" s="90">
        <f t="shared" si="12"/>
        <v>1.0132201043616052E-2</v>
      </c>
      <c r="BS42" s="14"/>
    </row>
    <row r="43" spans="3:71" x14ac:dyDescent="0.3">
      <c r="C43" s="13"/>
      <c r="D43" s="3">
        <v>68</v>
      </c>
      <c r="E43" s="95">
        <v>2868</v>
      </c>
      <c r="F43" s="2">
        <v>27</v>
      </c>
      <c r="G43" s="94">
        <f t="shared" si="0"/>
        <v>9.4142259414225944E-3</v>
      </c>
      <c r="H43" s="94"/>
      <c r="I43" s="40">
        <v>1.017E-2</v>
      </c>
      <c r="J43" s="59">
        <f t="shared" si="1"/>
        <v>29.167560000000002</v>
      </c>
      <c r="L43" s="59">
        <f t="shared" si="2"/>
        <v>0.9256859332765579</v>
      </c>
      <c r="N43" s="93">
        <f t="shared" si="3"/>
        <v>1.1769814541394048E-2</v>
      </c>
      <c r="AD43" s="14"/>
      <c r="AH43" s="81">
        <v>68</v>
      </c>
      <c r="AI43" s="80">
        <v>574</v>
      </c>
      <c r="AJ43" s="79">
        <v>7</v>
      </c>
      <c r="AK43" s="80">
        <v>562</v>
      </c>
      <c r="AL43" s="79">
        <v>5</v>
      </c>
      <c r="AM43" s="80">
        <v>568</v>
      </c>
      <c r="AN43" s="79">
        <v>6</v>
      </c>
      <c r="AO43" s="80">
        <v>582</v>
      </c>
      <c r="AP43" s="79">
        <v>7</v>
      </c>
      <c r="AQ43" s="80">
        <v>582</v>
      </c>
      <c r="AR43" s="79">
        <v>2</v>
      </c>
      <c r="AS43" s="80">
        <f t="shared" si="4"/>
        <v>2868</v>
      </c>
      <c r="AT43" s="79">
        <f t="shared" si="5"/>
        <v>27</v>
      </c>
      <c r="AU43" s="2"/>
      <c r="AV43" s="92">
        <v>1.017E-2</v>
      </c>
      <c r="AW43" s="59">
        <f t="shared" si="6"/>
        <v>5.83758</v>
      </c>
      <c r="AX43" s="59">
        <f t="shared" si="7"/>
        <v>5.7155399999999998</v>
      </c>
      <c r="AY43" s="59">
        <f t="shared" si="8"/>
        <v>5.7765599999999999</v>
      </c>
      <c r="AZ43" s="59">
        <f t="shared" si="9"/>
        <v>5.9189400000000001</v>
      </c>
      <c r="BA43" s="59">
        <f t="shared" si="10"/>
        <v>5.9189400000000001</v>
      </c>
      <c r="BB43" s="91">
        <f t="shared" si="11"/>
        <v>29.167560000000002</v>
      </c>
      <c r="BC43" s="59"/>
      <c r="BD43" s="90">
        <f t="shared" si="12"/>
        <v>1.1200487457997309E-2</v>
      </c>
      <c r="BS43" s="14"/>
    </row>
    <row r="44" spans="3:71" x14ac:dyDescent="0.3">
      <c r="C44" s="13"/>
      <c r="D44" s="3">
        <v>69</v>
      </c>
      <c r="E44" s="95">
        <v>2450</v>
      </c>
      <c r="F44" s="2">
        <v>38</v>
      </c>
      <c r="G44" s="94">
        <f t="shared" si="0"/>
        <v>1.5510204081632653E-2</v>
      </c>
      <c r="H44" s="94"/>
      <c r="I44" s="40">
        <v>1.1259999999999999E-2</v>
      </c>
      <c r="J44" s="59">
        <f t="shared" si="1"/>
        <v>27.587</v>
      </c>
      <c r="L44" s="59">
        <f t="shared" si="2"/>
        <v>1.3774603980135571</v>
      </c>
      <c r="N44" s="93">
        <f t="shared" si="3"/>
        <v>1.3031279423411696E-2</v>
      </c>
      <c r="AD44" s="14"/>
      <c r="AH44" s="81">
        <v>69</v>
      </c>
      <c r="AI44" s="80">
        <v>490</v>
      </c>
      <c r="AJ44" s="79">
        <v>7</v>
      </c>
      <c r="AK44" s="80">
        <v>480</v>
      </c>
      <c r="AL44" s="79">
        <v>8</v>
      </c>
      <c r="AM44" s="80">
        <v>485</v>
      </c>
      <c r="AN44" s="79">
        <v>5</v>
      </c>
      <c r="AO44" s="80">
        <v>497</v>
      </c>
      <c r="AP44" s="79">
        <v>10</v>
      </c>
      <c r="AQ44" s="80">
        <v>498</v>
      </c>
      <c r="AR44" s="79">
        <v>8</v>
      </c>
      <c r="AS44" s="80">
        <f t="shared" si="4"/>
        <v>2450</v>
      </c>
      <c r="AT44" s="79">
        <f t="shared" si="5"/>
        <v>38</v>
      </c>
      <c r="AU44" s="2"/>
      <c r="AV44" s="92">
        <v>1.1259999999999999E-2</v>
      </c>
      <c r="AW44" s="59">
        <f t="shared" si="6"/>
        <v>5.5173999999999994</v>
      </c>
      <c r="AX44" s="59">
        <f t="shared" si="7"/>
        <v>5.4047999999999998</v>
      </c>
      <c r="AY44" s="59">
        <f t="shared" si="8"/>
        <v>5.4610999999999992</v>
      </c>
      <c r="AZ44" s="59">
        <f t="shared" si="9"/>
        <v>5.5962199999999998</v>
      </c>
      <c r="BA44" s="59">
        <f t="shared" si="10"/>
        <v>5.6074799999999998</v>
      </c>
      <c r="BB44" s="91">
        <f t="shared" si="11"/>
        <v>27.587</v>
      </c>
      <c r="BC44" s="59"/>
      <c r="BD44" s="90">
        <f t="shared" si="12"/>
        <v>1.2400933016425732E-2</v>
      </c>
      <c r="BS44" s="14"/>
    </row>
    <row r="45" spans="3:71" x14ac:dyDescent="0.3">
      <c r="C45" s="13"/>
      <c r="D45" s="3">
        <v>70</v>
      </c>
      <c r="E45" s="95">
        <v>2259</v>
      </c>
      <c r="F45" s="2">
        <v>40</v>
      </c>
      <c r="G45" s="94">
        <f t="shared" si="0"/>
        <v>1.7706949977866312E-2</v>
      </c>
      <c r="H45" s="94"/>
      <c r="I45" s="40">
        <v>1.251E-2</v>
      </c>
      <c r="J45" s="59">
        <f t="shared" si="1"/>
        <v>28.260090000000002</v>
      </c>
      <c r="L45" s="59">
        <f t="shared" si="2"/>
        <v>1.4154236593018634</v>
      </c>
      <c r="N45" s="93">
        <f t="shared" si="3"/>
        <v>1.4477913462422765E-2</v>
      </c>
      <c r="AD45" s="14"/>
      <c r="AH45" s="81">
        <v>70</v>
      </c>
      <c r="AI45" s="80">
        <v>452</v>
      </c>
      <c r="AJ45" s="79">
        <v>8</v>
      </c>
      <c r="AK45" s="80">
        <v>443</v>
      </c>
      <c r="AL45" s="79">
        <v>6</v>
      </c>
      <c r="AM45" s="80">
        <v>447</v>
      </c>
      <c r="AN45" s="79">
        <v>10</v>
      </c>
      <c r="AO45" s="80">
        <v>459</v>
      </c>
      <c r="AP45" s="79">
        <v>7</v>
      </c>
      <c r="AQ45" s="80">
        <v>458</v>
      </c>
      <c r="AR45" s="79">
        <v>9</v>
      </c>
      <c r="AS45" s="80">
        <f t="shared" si="4"/>
        <v>2259</v>
      </c>
      <c r="AT45" s="79">
        <f t="shared" si="5"/>
        <v>40</v>
      </c>
      <c r="AU45" s="2"/>
      <c r="AV45" s="92">
        <v>1.251E-2</v>
      </c>
      <c r="AW45" s="59">
        <f t="shared" si="6"/>
        <v>5.6545199999999998</v>
      </c>
      <c r="AX45" s="59">
        <f t="shared" si="7"/>
        <v>5.5419299999999998</v>
      </c>
      <c r="AY45" s="59">
        <f t="shared" si="8"/>
        <v>5.5919699999999999</v>
      </c>
      <c r="AZ45" s="59">
        <f t="shared" si="9"/>
        <v>5.7420900000000001</v>
      </c>
      <c r="BA45" s="59">
        <f t="shared" si="10"/>
        <v>5.7295800000000003</v>
      </c>
      <c r="BB45" s="91">
        <f t="shared" si="11"/>
        <v>28.260090000000002</v>
      </c>
      <c r="BC45" s="59"/>
      <c r="BD45" s="90">
        <f t="shared" si="12"/>
        <v>1.3777590766917045E-2</v>
      </c>
      <c r="BS45" s="14"/>
    </row>
    <row r="46" spans="3:71" x14ac:dyDescent="0.3">
      <c r="C46" s="13"/>
      <c r="D46" s="3">
        <v>71</v>
      </c>
      <c r="E46" s="95">
        <v>1868</v>
      </c>
      <c r="F46" s="2">
        <v>35</v>
      </c>
      <c r="G46" s="94">
        <f t="shared" si="0"/>
        <v>1.873661670235546E-2</v>
      </c>
      <c r="H46" s="94"/>
      <c r="I46" s="40">
        <v>1.396E-2</v>
      </c>
      <c r="J46" s="59">
        <f t="shared" si="1"/>
        <v>26.077280000000002</v>
      </c>
      <c r="L46" s="59">
        <f t="shared" si="2"/>
        <v>1.3421645202260357</v>
      </c>
      <c r="N46" s="93">
        <f t="shared" si="3"/>
        <v>1.6156008947675604E-2</v>
      </c>
      <c r="AD46" s="14"/>
      <c r="AH46" s="81">
        <v>71</v>
      </c>
      <c r="AI46" s="80">
        <v>374</v>
      </c>
      <c r="AJ46" s="79">
        <v>8</v>
      </c>
      <c r="AK46" s="80">
        <v>366</v>
      </c>
      <c r="AL46" s="79">
        <v>6</v>
      </c>
      <c r="AM46" s="80">
        <v>370</v>
      </c>
      <c r="AN46" s="79">
        <v>7</v>
      </c>
      <c r="AO46" s="80">
        <v>379</v>
      </c>
      <c r="AP46" s="79">
        <v>5</v>
      </c>
      <c r="AQ46" s="80">
        <v>379</v>
      </c>
      <c r="AR46" s="79">
        <v>9</v>
      </c>
      <c r="AS46" s="80">
        <f t="shared" si="4"/>
        <v>1868</v>
      </c>
      <c r="AT46" s="79">
        <f t="shared" si="5"/>
        <v>35</v>
      </c>
      <c r="AU46" s="2"/>
      <c r="AV46" s="92">
        <v>1.396E-2</v>
      </c>
      <c r="AW46" s="59">
        <f t="shared" si="6"/>
        <v>5.2210400000000003</v>
      </c>
      <c r="AX46" s="59">
        <f t="shared" si="7"/>
        <v>5.1093599999999997</v>
      </c>
      <c r="AY46" s="59">
        <f t="shared" si="8"/>
        <v>5.1652000000000005</v>
      </c>
      <c r="AZ46" s="59">
        <f t="shared" si="9"/>
        <v>5.2908400000000002</v>
      </c>
      <c r="BA46" s="59">
        <f t="shared" si="10"/>
        <v>5.2908400000000002</v>
      </c>
      <c r="BB46" s="91">
        <f t="shared" si="11"/>
        <v>26.077280000000002</v>
      </c>
      <c r="BC46" s="59"/>
      <c r="BD46" s="90">
        <f t="shared" si="12"/>
        <v>1.5374513757486965E-2</v>
      </c>
      <c r="BS46" s="14"/>
    </row>
    <row r="47" spans="3:71" x14ac:dyDescent="0.3">
      <c r="C47" s="13"/>
      <c r="D47" s="3">
        <v>72</v>
      </c>
      <c r="E47" s="95">
        <v>1709</v>
      </c>
      <c r="F47" s="2">
        <v>41</v>
      </c>
      <c r="G47" s="94">
        <f t="shared" si="0"/>
        <v>2.3990637799882971E-2</v>
      </c>
      <c r="H47" s="94"/>
      <c r="I47" s="40">
        <v>1.559E-2</v>
      </c>
      <c r="J47" s="59">
        <f t="shared" si="1"/>
        <v>26.64331</v>
      </c>
      <c r="L47" s="59">
        <f t="shared" si="2"/>
        <v>1.5388478383504152</v>
      </c>
      <c r="N47" s="93">
        <f t="shared" si="3"/>
        <v>1.8042419734546036E-2</v>
      </c>
      <c r="AD47" s="14"/>
      <c r="AH47" s="81">
        <v>72</v>
      </c>
      <c r="AI47" s="80">
        <v>342</v>
      </c>
      <c r="AJ47" s="79">
        <v>8</v>
      </c>
      <c r="AK47" s="80">
        <v>335</v>
      </c>
      <c r="AL47" s="79">
        <v>10</v>
      </c>
      <c r="AM47" s="80">
        <v>338</v>
      </c>
      <c r="AN47" s="79">
        <v>5</v>
      </c>
      <c r="AO47" s="80">
        <v>347</v>
      </c>
      <c r="AP47" s="79">
        <v>10</v>
      </c>
      <c r="AQ47" s="80">
        <v>347</v>
      </c>
      <c r="AR47" s="79">
        <v>8</v>
      </c>
      <c r="AS47" s="80">
        <f t="shared" si="4"/>
        <v>1709</v>
      </c>
      <c r="AT47" s="79">
        <f t="shared" si="5"/>
        <v>41</v>
      </c>
      <c r="AU47" s="2"/>
      <c r="AV47" s="92">
        <v>1.559E-2</v>
      </c>
      <c r="AW47" s="59">
        <f t="shared" si="6"/>
        <v>5.3317800000000002</v>
      </c>
      <c r="AX47" s="59">
        <f t="shared" si="7"/>
        <v>5.2226499999999998</v>
      </c>
      <c r="AY47" s="59">
        <f t="shared" si="8"/>
        <v>5.2694200000000002</v>
      </c>
      <c r="AZ47" s="59">
        <f t="shared" si="9"/>
        <v>5.4097299999999997</v>
      </c>
      <c r="BA47" s="59">
        <f t="shared" si="10"/>
        <v>5.4097299999999997</v>
      </c>
      <c r="BB47" s="91">
        <f t="shared" si="11"/>
        <v>26.64331</v>
      </c>
      <c r="BC47" s="59"/>
      <c r="BD47" s="90">
        <f t="shared" si="12"/>
        <v>1.7169675464127634E-2</v>
      </c>
      <c r="BS47" s="14"/>
    </row>
    <row r="48" spans="3:71" x14ac:dyDescent="0.3">
      <c r="C48" s="13"/>
      <c r="D48" s="3">
        <v>73</v>
      </c>
      <c r="E48" s="95">
        <v>1619</v>
      </c>
      <c r="F48" s="2">
        <v>49</v>
      </c>
      <c r="G48" s="94">
        <f t="shared" si="0"/>
        <v>3.0265596046942556E-2</v>
      </c>
      <c r="H48" s="94"/>
      <c r="I48" s="40">
        <v>1.745E-2</v>
      </c>
      <c r="J48" s="59">
        <f t="shared" si="1"/>
        <v>28.251550000000002</v>
      </c>
      <c r="L48" s="59">
        <f t="shared" si="2"/>
        <v>1.7344181115726394</v>
      </c>
      <c r="N48" s="93">
        <f t="shared" si="3"/>
        <v>2.0195011184594505E-2</v>
      </c>
      <c r="AD48" s="14"/>
      <c r="AH48" s="81">
        <v>73</v>
      </c>
      <c r="AI48" s="80">
        <v>324</v>
      </c>
      <c r="AJ48" s="79">
        <v>11</v>
      </c>
      <c r="AK48" s="80">
        <v>317</v>
      </c>
      <c r="AL48" s="79">
        <v>8</v>
      </c>
      <c r="AM48" s="80">
        <v>321</v>
      </c>
      <c r="AN48" s="79">
        <v>12</v>
      </c>
      <c r="AO48" s="80">
        <v>329</v>
      </c>
      <c r="AP48" s="79">
        <v>7</v>
      </c>
      <c r="AQ48" s="80">
        <v>328</v>
      </c>
      <c r="AR48" s="79">
        <v>11</v>
      </c>
      <c r="AS48" s="80">
        <f t="shared" si="4"/>
        <v>1619</v>
      </c>
      <c r="AT48" s="79">
        <f t="shared" si="5"/>
        <v>49</v>
      </c>
      <c r="AU48" s="2"/>
      <c r="AV48" s="92">
        <v>1.745E-2</v>
      </c>
      <c r="AW48" s="59">
        <f t="shared" si="6"/>
        <v>5.6538000000000004</v>
      </c>
      <c r="AX48" s="59">
        <f t="shared" si="7"/>
        <v>5.53165</v>
      </c>
      <c r="AY48" s="59">
        <f t="shared" si="8"/>
        <v>5.6014499999999998</v>
      </c>
      <c r="AZ48" s="59">
        <f t="shared" si="9"/>
        <v>5.7410500000000004</v>
      </c>
      <c r="BA48" s="59">
        <f t="shared" si="10"/>
        <v>5.7236000000000002</v>
      </c>
      <c r="BB48" s="91">
        <f t="shared" si="11"/>
        <v>28.251550000000002</v>
      </c>
      <c r="BC48" s="59"/>
      <c r="BD48" s="90">
        <f t="shared" si="12"/>
        <v>1.9218142196858707E-2</v>
      </c>
      <c r="BS48" s="14"/>
    </row>
    <row r="49" spans="3:71" x14ac:dyDescent="0.3">
      <c r="C49" s="13"/>
      <c r="D49" s="3">
        <v>74</v>
      </c>
      <c r="E49" s="95">
        <v>1423</v>
      </c>
      <c r="F49" s="2">
        <v>35</v>
      </c>
      <c r="G49" s="94">
        <f t="shared" si="0"/>
        <v>2.4595924104005622E-2</v>
      </c>
      <c r="H49" s="94"/>
      <c r="I49" s="40">
        <v>1.959E-2</v>
      </c>
      <c r="J49" s="59">
        <f t="shared" si="1"/>
        <v>27.876570000000001</v>
      </c>
      <c r="L49" s="59">
        <f t="shared" si="2"/>
        <v>1.2555346658502105</v>
      </c>
      <c r="N49" s="93">
        <f t="shared" si="3"/>
        <v>2.2671648659381451E-2</v>
      </c>
      <c r="AD49" s="14"/>
      <c r="AH49" s="81">
        <v>74</v>
      </c>
      <c r="AI49" s="80">
        <v>285</v>
      </c>
      <c r="AJ49" s="79">
        <v>8</v>
      </c>
      <c r="AK49" s="80">
        <v>279</v>
      </c>
      <c r="AL49" s="79">
        <v>10</v>
      </c>
      <c r="AM49" s="80">
        <v>282</v>
      </c>
      <c r="AN49" s="79">
        <v>3</v>
      </c>
      <c r="AO49" s="80">
        <v>289</v>
      </c>
      <c r="AP49" s="79">
        <v>8</v>
      </c>
      <c r="AQ49" s="80">
        <v>288</v>
      </c>
      <c r="AR49" s="79">
        <v>6</v>
      </c>
      <c r="AS49" s="80">
        <f t="shared" si="4"/>
        <v>1423</v>
      </c>
      <c r="AT49" s="79">
        <f t="shared" si="5"/>
        <v>35</v>
      </c>
      <c r="AU49" s="2"/>
      <c r="AV49" s="92">
        <v>1.959E-2</v>
      </c>
      <c r="AW49" s="59">
        <f t="shared" si="6"/>
        <v>5.5831499999999998</v>
      </c>
      <c r="AX49" s="59">
        <f t="shared" si="7"/>
        <v>5.4656099999999999</v>
      </c>
      <c r="AY49" s="59">
        <f t="shared" si="8"/>
        <v>5.5243799999999998</v>
      </c>
      <c r="AZ49" s="59">
        <f t="shared" si="9"/>
        <v>5.6615099999999998</v>
      </c>
      <c r="BA49" s="59">
        <f t="shared" si="10"/>
        <v>5.6419199999999998</v>
      </c>
      <c r="BB49" s="91">
        <f t="shared" si="11"/>
        <v>27.876570000000001</v>
      </c>
      <c r="BC49" s="59"/>
      <c r="BD49" s="90">
        <f t="shared" si="12"/>
        <v>2.1574980265699831E-2</v>
      </c>
      <c r="BS49" s="14"/>
    </row>
    <row r="50" spans="3:71" x14ac:dyDescent="0.3">
      <c r="C50" s="13"/>
      <c r="D50" s="3">
        <v>75</v>
      </c>
      <c r="E50" s="95">
        <v>1381</v>
      </c>
      <c r="F50" s="2">
        <v>38</v>
      </c>
      <c r="G50" s="94">
        <f t="shared" si="0"/>
        <v>2.7516292541636494E-2</v>
      </c>
      <c r="H50" s="94"/>
      <c r="I50" s="40">
        <v>2.2040000000000001E-2</v>
      </c>
      <c r="J50" s="59">
        <f t="shared" si="1"/>
        <v>30.437239999999999</v>
      </c>
      <c r="L50" s="59">
        <f t="shared" si="2"/>
        <v>1.2484706234862295</v>
      </c>
      <c r="N50" s="93">
        <f t="shared" si="3"/>
        <v>2.5507051375843148E-2</v>
      </c>
      <c r="AD50" s="14"/>
      <c r="AH50" s="81">
        <v>75</v>
      </c>
      <c r="AI50" s="80">
        <v>276</v>
      </c>
      <c r="AJ50" s="79">
        <v>8</v>
      </c>
      <c r="AK50" s="80">
        <v>271</v>
      </c>
      <c r="AL50" s="79">
        <v>9</v>
      </c>
      <c r="AM50" s="80">
        <v>273</v>
      </c>
      <c r="AN50" s="79">
        <v>8</v>
      </c>
      <c r="AO50" s="80">
        <v>280</v>
      </c>
      <c r="AP50" s="79">
        <v>7</v>
      </c>
      <c r="AQ50" s="80">
        <v>281</v>
      </c>
      <c r="AR50" s="79">
        <v>6</v>
      </c>
      <c r="AS50" s="80">
        <f t="shared" si="4"/>
        <v>1381</v>
      </c>
      <c r="AT50" s="79">
        <f t="shared" si="5"/>
        <v>38</v>
      </c>
      <c r="AU50" s="2"/>
      <c r="AV50" s="92">
        <v>2.2040000000000001E-2</v>
      </c>
      <c r="AW50" s="59">
        <f t="shared" si="6"/>
        <v>6.0830400000000004</v>
      </c>
      <c r="AX50" s="59">
        <f t="shared" si="7"/>
        <v>5.9728400000000006</v>
      </c>
      <c r="AY50" s="59">
        <f t="shared" si="8"/>
        <v>6.0169199999999998</v>
      </c>
      <c r="AZ50" s="59">
        <f t="shared" si="9"/>
        <v>6.1711999999999998</v>
      </c>
      <c r="BA50" s="59">
        <f t="shared" si="10"/>
        <v>6.1932400000000003</v>
      </c>
      <c r="BB50" s="91">
        <f t="shared" si="11"/>
        <v>30.437239999999999</v>
      </c>
      <c r="BC50" s="59"/>
      <c r="BD50" s="90">
        <f t="shared" si="12"/>
        <v>2.4273229456662802E-2</v>
      </c>
      <c r="BS50" s="14"/>
    </row>
    <row r="51" spans="3:71" x14ac:dyDescent="0.3">
      <c r="C51" s="13"/>
      <c r="D51" s="3">
        <v>76</v>
      </c>
      <c r="E51" s="95">
        <v>1275</v>
      </c>
      <c r="F51" s="2">
        <v>46</v>
      </c>
      <c r="G51" s="94">
        <f t="shared" si="0"/>
        <v>3.607843137254902E-2</v>
      </c>
      <c r="H51" s="94"/>
      <c r="I51" s="40">
        <v>2.4850000000000001E-2</v>
      </c>
      <c r="J51" s="59">
        <f t="shared" si="1"/>
        <v>31.68375</v>
      </c>
      <c r="L51" s="59">
        <f t="shared" si="2"/>
        <v>1.4518483449717916</v>
      </c>
      <c r="N51" s="93">
        <f t="shared" si="3"/>
        <v>2.8759084695540026E-2</v>
      </c>
      <c r="AD51" s="14"/>
      <c r="AH51" s="81">
        <v>76</v>
      </c>
      <c r="AI51" s="80">
        <v>255</v>
      </c>
      <c r="AJ51" s="79">
        <v>8</v>
      </c>
      <c r="AK51" s="80">
        <v>250</v>
      </c>
      <c r="AL51" s="79">
        <v>11</v>
      </c>
      <c r="AM51" s="80">
        <v>252</v>
      </c>
      <c r="AN51" s="79">
        <v>10</v>
      </c>
      <c r="AO51" s="80">
        <v>259</v>
      </c>
      <c r="AP51" s="79">
        <v>7</v>
      </c>
      <c r="AQ51" s="80">
        <v>259</v>
      </c>
      <c r="AR51" s="79">
        <v>10</v>
      </c>
      <c r="AS51" s="80">
        <f t="shared" si="4"/>
        <v>1275</v>
      </c>
      <c r="AT51" s="79">
        <f t="shared" si="5"/>
        <v>46</v>
      </c>
      <c r="AU51" s="2"/>
      <c r="AV51" s="92">
        <v>2.4850000000000001E-2</v>
      </c>
      <c r="AW51" s="59">
        <f t="shared" si="6"/>
        <v>6.3367500000000003</v>
      </c>
      <c r="AX51" s="59">
        <f t="shared" si="7"/>
        <v>6.2125000000000004</v>
      </c>
      <c r="AY51" s="59">
        <f t="shared" si="8"/>
        <v>6.2622</v>
      </c>
      <c r="AZ51" s="59">
        <f t="shared" si="9"/>
        <v>6.4361500000000005</v>
      </c>
      <c r="BA51" s="59">
        <f t="shared" si="10"/>
        <v>6.4361500000000005</v>
      </c>
      <c r="BB51" s="91">
        <f t="shared" si="11"/>
        <v>31.68375</v>
      </c>
      <c r="BC51" s="59"/>
      <c r="BD51" s="90">
        <f t="shared" si="12"/>
        <v>2.7367956079767271E-2</v>
      </c>
      <c r="BS51" s="14"/>
    </row>
    <row r="52" spans="3:71" x14ac:dyDescent="0.3">
      <c r="C52" s="13"/>
      <c r="D52" s="3">
        <v>77</v>
      </c>
      <c r="E52" s="95">
        <v>1111</v>
      </c>
      <c r="F52" s="2">
        <v>29</v>
      </c>
      <c r="G52" s="94">
        <f t="shared" si="0"/>
        <v>2.6102610261026102E-2</v>
      </c>
      <c r="H52" s="94"/>
      <c r="I52" s="40">
        <v>2.8049999999999999E-2</v>
      </c>
      <c r="J52" s="59">
        <f t="shared" si="1"/>
        <v>31.163549999999997</v>
      </c>
      <c r="L52" s="59">
        <f t="shared" si="2"/>
        <v>0.93057434085654567</v>
      </c>
      <c r="N52" s="93">
        <f t="shared" si="3"/>
        <v>3.2462467835408355E-2</v>
      </c>
      <c r="AD52" s="14"/>
      <c r="AH52" s="81">
        <v>77</v>
      </c>
      <c r="AI52" s="80">
        <v>222</v>
      </c>
      <c r="AJ52" s="79">
        <v>5</v>
      </c>
      <c r="AK52" s="80">
        <v>218</v>
      </c>
      <c r="AL52" s="79">
        <v>6</v>
      </c>
      <c r="AM52" s="80">
        <v>220</v>
      </c>
      <c r="AN52" s="79">
        <v>3</v>
      </c>
      <c r="AO52" s="80">
        <v>226</v>
      </c>
      <c r="AP52" s="79">
        <v>8</v>
      </c>
      <c r="AQ52" s="80">
        <v>225</v>
      </c>
      <c r="AR52" s="79">
        <v>7</v>
      </c>
      <c r="AS52" s="80">
        <f t="shared" si="4"/>
        <v>1111</v>
      </c>
      <c r="AT52" s="79">
        <f t="shared" si="5"/>
        <v>29</v>
      </c>
      <c r="AU52" s="2"/>
      <c r="AV52" s="92">
        <v>2.8049999999999999E-2</v>
      </c>
      <c r="AW52" s="59">
        <f t="shared" si="6"/>
        <v>6.2271000000000001</v>
      </c>
      <c r="AX52" s="59">
        <f t="shared" si="7"/>
        <v>6.1148999999999996</v>
      </c>
      <c r="AY52" s="59">
        <f t="shared" si="8"/>
        <v>6.1709999999999994</v>
      </c>
      <c r="AZ52" s="59">
        <f t="shared" si="9"/>
        <v>6.3392999999999997</v>
      </c>
      <c r="BA52" s="59">
        <f t="shared" si="10"/>
        <v>6.3112499999999994</v>
      </c>
      <c r="BB52" s="91">
        <f t="shared" si="11"/>
        <v>31.163549999999997</v>
      </c>
      <c r="BC52" s="59"/>
      <c r="BD52" s="90">
        <f t="shared" si="12"/>
        <v>3.0892199921025026E-2</v>
      </c>
      <c r="BS52" s="14"/>
    </row>
    <row r="53" spans="3:71" x14ac:dyDescent="0.3">
      <c r="C53" s="13"/>
      <c r="D53" s="3">
        <v>78</v>
      </c>
      <c r="E53" s="95">
        <v>969</v>
      </c>
      <c r="F53" s="2">
        <v>30</v>
      </c>
      <c r="G53" s="94">
        <f t="shared" si="0"/>
        <v>3.0959752321981424E-2</v>
      </c>
      <c r="H53" s="94"/>
      <c r="I53" s="40">
        <v>3.1690000000000003E-2</v>
      </c>
      <c r="J53" s="59">
        <f t="shared" si="1"/>
        <v>30.707610000000003</v>
      </c>
      <c r="L53" s="59">
        <f t="shared" si="2"/>
        <v>0.97695652641153108</v>
      </c>
      <c r="N53" s="93">
        <f t="shared" si="3"/>
        <v>3.6675066157008593E-2</v>
      </c>
      <c r="AD53" s="14"/>
      <c r="AH53" s="81">
        <v>78</v>
      </c>
      <c r="AI53" s="80">
        <v>194</v>
      </c>
      <c r="AJ53" s="79">
        <v>6</v>
      </c>
      <c r="AK53" s="80">
        <v>190</v>
      </c>
      <c r="AL53" s="79">
        <v>5</v>
      </c>
      <c r="AM53" s="80">
        <v>192</v>
      </c>
      <c r="AN53" s="79">
        <v>8</v>
      </c>
      <c r="AO53" s="80">
        <v>197</v>
      </c>
      <c r="AP53" s="79">
        <v>8</v>
      </c>
      <c r="AQ53" s="80">
        <v>196</v>
      </c>
      <c r="AR53" s="79">
        <v>3</v>
      </c>
      <c r="AS53" s="80">
        <f t="shared" si="4"/>
        <v>969</v>
      </c>
      <c r="AT53" s="79">
        <f t="shared" si="5"/>
        <v>30</v>
      </c>
      <c r="AU53" s="2"/>
      <c r="AV53" s="92">
        <v>3.1690000000000003E-2</v>
      </c>
      <c r="AW53" s="59">
        <f t="shared" si="6"/>
        <v>6.1478600000000005</v>
      </c>
      <c r="AX53" s="59">
        <f t="shared" si="7"/>
        <v>6.0211000000000006</v>
      </c>
      <c r="AY53" s="59">
        <f t="shared" si="8"/>
        <v>6.084480000000001</v>
      </c>
      <c r="AZ53" s="59">
        <f t="shared" si="9"/>
        <v>6.2429300000000003</v>
      </c>
      <c r="BA53" s="59">
        <f t="shared" si="10"/>
        <v>6.211240000000001</v>
      </c>
      <c r="BB53" s="91">
        <f t="shared" si="11"/>
        <v>30.707610000000003</v>
      </c>
      <c r="BC53" s="59"/>
      <c r="BD53" s="90">
        <f t="shared" si="12"/>
        <v>3.490102729045573E-2</v>
      </c>
      <c r="BS53" s="14"/>
    </row>
    <row r="54" spans="3:71" x14ac:dyDescent="0.3">
      <c r="C54" s="13"/>
      <c r="D54" s="3">
        <v>79</v>
      </c>
      <c r="E54" s="95">
        <v>772</v>
      </c>
      <c r="F54" s="2">
        <v>20</v>
      </c>
      <c r="G54" s="94">
        <f t="shared" si="0"/>
        <v>2.5906735751295335E-2</v>
      </c>
      <c r="H54" s="94"/>
      <c r="I54" s="40">
        <v>3.5830000000000001E-2</v>
      </c>
      <c r="J54" s="59">
        <f t="shared" si="1"/>
        <v>27.66076</v>
      </c>
      <c r="L54" s="59">
        <f t="shared" si="2"/>
        <v>0.72304593221588997</v>
      </c>
      <c r="N54" s="93">
        <f t="shared" si="3"/>
        <v>4.1466318094213243E-2</v>
      </c>
      <c r="AD54" s="14"/>
      <c r="AH54" s="81">
        <v>79</v>
      </c>
      <c r="AI54" s="80">
        <v>154</v>
      </c>
      <c r="AJ54" s="79">
        <v>4</v>
      </c>
      <c r="AK54" s="80">
        <v>151</v>
      </c>
      <c r="AL54" s="79">
        <v>3</v>
      </c>
      <c r="AM54" s="80">
        <v>153</v>
      </c>
      <c r="AN54" s="79">
        <v>3</v>
      </c>
      <c r="AO54" s="80">
        <v>157</v>
      </c>
      <c r="AP54" s="79">
        <v>8</v>
      </c>
      <c r="AQ54" s="80">
        <v>157</v>
      </c>
      <c r="AR54" s="79">
        <v>2</v>
      </c>
      <c r="AS54" s="80">
        <f t="shared" si="4"/>
        <v>772</v>
      </c>
      <c r="AT54" s="79">
        <f t="shared" si="5"/>
        <v>20</v>
      </c>
      <c r="AU54" s="2"/>
      <c r="AV54" s="92">
        <v>3.5830000000000001E-2</v>
      </c>
      <c r="AW54" s="59">
        <f t="shared" si="6"/>
        <v>5.5178200000000004</v>
      </c>
      <c r="AX54" s="59">
        <f t="shared" si="7"/>
        <v>5.4103300000000001</v>
      </c>
      <c r="AY54" s="59">
        <f t="shared" si="8"/>
        <v>5.4819899999999997</v>
      </c>
      <c r="AZ54" s="59">
        <f t="shared" si="9"/>
        <v>5.6253099999999998</v>
      </c>
      <c r="BA54" s="59">
        <f t="shared" si="10"/>
        <v>5.6253099999999998</v>
      </c>
      <c r="BB54" s="91">
        <f t="shared" si="11"/>
        <v>27.66076</v>
      </c>
      <c r="BC54" s="59"/>
      <c r="BD54" s="90">
        <f t="shared" si="12"/>
        <v>3.9460517760082948E-2</v>
      </c>
      <c r="BS54" s="14"/>
    </row>
    <row r="55" spans="3:71" x14ac:dyDescent="0.3">
      <c r="C55" s="13"/>
      <c r="D55" s="3">
        <v>80</v>
      </c>
      <c r="E55" s="95">
        <v>704</v>
      </c>
      <c r="F55" s="2">
        <v>35</v>
      </c>
      <c r="G55" s="94">
        <f t="shared" si="0"/>
        <v>4.9715909090909088E-2</v>
      </c>
      <c r="H55" s="94"/>
      <c r="I55" s="40">
        <v>4.079E-2</v>
      </c>
      <c r="J55" s="59">
        <f t="shared" si="1"/>
        <v>28.716159999999999</v>
      </c>
      <c r="L55" s="59">
        <f t="shared" si="2"/>
        <v>1.2188259154427334</v>
      </c>
      <c r="N55" s="93">
        <f t="shared" si="3"/>
        <v>4.7206561961009162E-2</v>
      </c>
      <c r="AD55" s="14"/>
      <c r="AH55" s="81">
        <v>80</v>
      </c>
      <c r="AI55" s="80">
        <v>141</v>
      </c>
      <c r="AJ55" s="79">
        <v>8</v>
      </c>
      <c r="AK55" s="80">
        <v>138</v>
      </c>
      <c r="AL55" s="79">
        <v>7</v>
      </c>
      <c r="AM55" s="80">
        <v>139</v>
      </c>
      <c r="AN55" s="79">
        <v>7</v>
      </c>
      <c r="AO55" s="80">
        <v>143</v>
      </c>
      <c r="AP55" s="79">
        <v>5</v>
      </c>
      <c r="AQ55" s="80">
        <v>143</v>
      </c>
      <c r="AR55" s="79">
        <v>8</v>
      </c>
      <c r="AS55" s="80">
        <f t="shared" si="4"/>
        <v>704</v>
      </c>
      <c r="AT55" s="79">
        <f t="shared" si="5"/>
        <v>35</v>
      </c>
      <c r="AU55" s="2"/>
      <c r="AV55" s="92">
        <v>4.079E-2</v>
      </c>
      <c r="AW55" s="59">
        <f t="shared" si="6"/>
        <v>5.7513899999999998</v>
      </c>
      <c r="AX55" s="59">
        <f t="shared" si="7"/>
        <v>5.6290199999999997</v>
      </c>
      <c r="AY55" s="59">
        <f t="shared" si="8"/>
        <v>5.66981</v>
      </c>
      <c r="AZ55" s="59">
        <f t="shared" si="9"/>
        <v>5.8329699999999995</v>
      </c>
      <c r="BA55" s="59">
        <f t="shared" si="10"/>
        <v>5.8329699999999995</v>
      </c>
      <c r="BB55" s="91">
        <f t="shared" si="11"/>
        <v>28.716159999999999</v>
      </c>
      <c r="BC55" s="59"/>
      <c r="BD55" s="90">
        <f t="shared" si="12"/>
        <v>4.4923095714032468E-2</v>
      </c>
      <c r="BS55" s="14"/>
    </row>
    <row r="56" spans="3:71" x14ac:dyDescent="0.3">
      <c r="C56" s="13"/>
      <c r="D56" s="3">
        <v>81</v>
      </c>
      <c r="E56" s="95">
        <v>540</v>
      </c>
      <c r="F56" s="2">
        <v>23</v>
      </c>
      <c r="G56" s="94">
        <f t="shared" si="0"/>
        <v>4.2592592592592592E-2</v>
      </c>
      <c r="H56" s="94"/>
      <c r="I56" s="40">
        <v>4.5830000000000003E-2</v>
      </c>
      <c r="J56" s="59">
        <f t="shared" si="1"/>
        <v>24.748200000000001</v>
      </c>
      <c r="L56" s="59">
        <f t="shared" si="2"/>
        <v>0.92936051914886741</v>
      </c>
      <c r="N56" s="93">
        <f t="shared" si="3"/>
        <v>5.303939040630179E-2</v>
      </c>
      <c r="AD56" s="14"/>
      <c r="AH56" s="81">
        <v>81</v>
      </c>
      <c r="AI56" s="80">
        <v>108</v>
      </c>
      <c r="AJ56" s="79">
        <v>2</v>
      </c>
      <c r="AK56" s="80">
        <v>106</v>
      </c>
      <c r="AL56" s="79">
        <v>7</v>
      </c>
      <c r="AM56" s="80">
        <v>107</v>
      </c>
      <c r="AN56" s="79">
        <v>4</v>
      </c>
      <c r="AO56" s="80">
        <v>110</v>
      </c>
      <c r="AP56" s="79">
        <v>4</v>
      </c>
      <c r="AQ56" s="80">
        <v>109</v>
      </c>
      <c r="AR56" s="79">
        <v>6</v>
      </c>
      <c r="AS56" s="80">
        <f t="shared" si="4"/>
        <v>540</v>
      </c>
      <c r="AT56" s="79">
        <f t="shared" si="5"/>
        <v>23</v>
      </c>
      <c r="AU56" s="2"/>
      <c r="AV56" s="92">
        <v>4.5830000000000003E-2</v>
      </c>
      <c r="AW56" s="59">
        <f t="shared" si="6"/>
        <v>4.9496400000000005</v>
      </c>
      <c r="AX56" s="59">
        <f t="shared" si="7"/>
        <v>4.8579800000000004</v>
      </c>
      <c r="AY56" s="59">
        <f t="shared" si="8"/>
        <v>4.90381</v>
      </c>
      <c r="AZ56" s="59">
        <f t="shared" si="9"/>
        <v>5.0413000000000006</v>
      </c>
      <c r="BA56" s="59">
        <f t="shared" si="10"/>
        <v>4.9954700000000001</v>
      </c>
      <c r="BB56" s="91">
        <f t="shared" si="11"/>
        <v>24.748200000000001</v>
      </c>
      <c r="BC56" s="59"/>
      <c r="BD56" s="90">
        <f t="shared" si="12"/>
        <v>5.0473779764013439E-2</v>
      </c>
      <c r="BS56" s="14"/>
    </row>
    <row r="57" spans="3:71" x14ac:dyDescent="0.3">
      <c r="C57" s="13"/>
      <c r="D57" s="3">
        <v>82</v>
      </c>
      <c r="E57" s="95">
        <v>524</v>
      </c>
      <c r="F57" s="2">
        <v>27</v>
      </c>
      <c r="G57" s="94">
        <f t="shared" si="0"/>
        <v>5.1526717557251911E-2</v>
      </c>
      <c r="H57" s="94"/>
      <c r="I57" s="40">
        <v>5.1499999999999997E-2</v>
      </c>
      <c r="J57" s="59">
        <f t="shared" si="1"/>
        <v>26.985999999999997</v>
      </c>
      <c r="L57" s="59">
        <f t="shared" si="2"/>
        <v>1.0005187875194546</v>
      </c>
      <c r="N57" s="93">
        <f t="shared" si="3"/>
        <v>5.9601322407255984E-2</v>
      </c>
      <c r="AD57" s="14"/>
      <c r="AH57" s="81">
        <v>82</v>
      </c>
      <c r="AI57" s="80">
        <v>105</v>
      </c>
      <c r="AJ57" s="79">
        <v>5</v>
      </c>
      <c r="AK57" s="80">
        <v>103</v>
      </c>
      <c r="AL57" s="79">
        <v>4</v>
      </c>
      <c r="AM57" s="80">
        <v>104</v>
      </c>
      <c r="AN57" s="79">
        <v>8</v>
      </c>
      <c r="AO57" s="80">
        <v>106</v>
      </c>
      <c r="AP57" s="79">
        <v>7</v>
      </c>
      <c r="AQ57" s="80">
        <v>106</v>
      </c>
      <c r="AR57" s="79">
        <v>3</v>
      </c>
      <c r="AS57" s="80">
        <f t="shared" si="4"/>
        <v>524</v>
      </c>
      <c r="AT57" s="79">
        <f t="shared" si="5"/>
        <v>27</v>
      </c>
      <c r="AU57" s="2"/>
      <c r="AV57" s="92">
        <v>5.1499999999999997E-2</v>
      </c>
      <c r="AW57" s="59">
        <f t="shared" si="6"/>
        <v>5.4074999999999998</v>
      </c>
      <c r="AX57" s="59">
        <f t="shared" si="7"/>
        <v>5.3045</v>
      </c>
      <c r="AY57" s="59">
        <f t="shared" si="8"/>
        <v>5.3559999999999999</v>
      </c>
      <c r="AZ57" s="59">
        <f t="shared" si="9"/>
        <v>5.4589999999999996</v>
      </c>
      <c r="BA57" s="59">
        <f t="shared" si="10"/>
        <v>5.4589999999999996</v>
      </c>
      <c r="BB57" s="91">
        <f t="shared" si="11"/>
        <v>26.985999999999997</v>
      </c>
      <c r="BC57" s="59"/>
      <c r="BD57" s="90">
        <f t="shared" si="12"/>
        <v>5.6718299320242027E-2</v>
      </c>
      <c r="BS57" s="14"/>
    </row>
    <row r="58" spans="3:71" x14ac:dyDescent="0.3">
      <c r="C58" s="13"/>
      <c r="D58" s="3">
        <v>83</v>
      </c>
      <c r="E58" s="95">
        <v>439</v>
      </c>
      <c r="F58" s="2">
        <v>32</v>
      </c>
      <c r="G58" s="94">
        <f t="shared" si="0"/>
        <v>7.289293849658314E-2</v>
      </c>
      <c r="H58" s="94"/>
      <c r="I58" s="40">
        <v>5.7869999999999998E-2</v>
      </c>
      <c r="J58" s="59">
        <f t="shared" si="1"/>
        <v>25.40493</v>
      </c>
      <c r="L58" s="59">
        <f t="shared" si="2"/>
        <v>1.259598038648404</v>
      </c>
      <c r="N58" s="93">
        <f t="shared" si="3"/>
        <v>6.6973369470056388E-2</v>
      </c>
      <c r="AD58" s="14"/>
      <c r="AH58" s="81">
        <v>83</v>
      </c>
      <c r="AI58" s="80">
        <v>88</v>
      </c>
      <c r="AJ58" s="79">
        <v>7</v>
      </c>
      <c r="AK58" s="80">
        <v>86</v>
      </c>
      <c r="AL58" s="79">
        <v>6</v>
      </c>
      <c r="AM58" s="80">
        <v>87</v>
      </c>
      <c r="AN58" s="79">
        <v>8</v>
      </c>
      <c r="AO58" s="80">
        <v>89</v>
      </c>
      <c r="AP58" s="79">
        <v>6</v>
      </c>
      <c r="AQ58" s="80">
        <v>89</v>
      </c>
      <c r="AR58" s="79">
        <v>5</v>
      </c>
      <c r="AS58" s="80">
        <f t="shared" si="4"/>
        <v>439</v>
      </c>
      <c r="AT58" s="79">
        <f t="shared" si="5"/>
        <v>32</v>
      </c>
      <c r="AU58" s="2"/>
      <c r="AV58" s="92">
        <v>5.7869999999999998E-2</v>
      </c>
      <c r="AW58" s="59">
        <f t="shared" si="6"/>
        <v>5.0925599999999998</v>
      </c>
      <c r="AX58" s="59">
        <f t="shared" si="7"/>
        <v>4.97682</v>
      </c>
      <c r="AY58" s="59">
        <f t="shared" si="8"/>
        <v>5.0346899999999994</v>
      </c>
      <c r="AZ58" s="59">
        <f t="shared" si="9"/>
        <v>5.1504300000000001</v>
      </c>
      <c r="BA58" s="59">
        <f t="shared" si="10"/>
        <v>5.1504300000000001</v>
      </c>
      <c r="BB58" s="91">
        <f t="shared" si="11"/>
        <v>25.40493</v>
      </c>
      <c r="BC58" s="59"/>
      <c r="BD58" s="90">
        <f t="shared" si="12"/>
        <v>6.3733747216745754E-2</v>
      </c>
      <c r="BS58" s="14"/>
    </row>
    <row r="59" spans="3:71" x14ac:dyDescent="0.3">
      <c r="C59" s="13"/>
      <c r="D59" s="3">
        <v>84</v>
      </c>
      <c r="E59" s="95">
        <v>376</v>
      </c>
      <c r="F59" s="2">
        <v>23</v>
      </c>
      <c r="G59" s="94">
        <f t="shared" si="0"/>
        <v>6.1170212765957445E-2</v>
      </c>
      <c r="H59" s="94"/>
      <c r="I59" s="40">
        <v>6.5079999999999999E-2</v>
      </c>
      <c r="J59" s="59">
        <f t="shared" si="1"/>
        <v>24.470079999999999</v>
      </c>
      <c r="L59" s="59">
        <f t="shared" si="2"/>
        <v>0.93992336763917406</v>
      </c>
      <c r="N59" s="93">
        <f t="shared" si="3"/>
        <v>7.5317554607072221E-2</v>
      </c>
      <c r="AD59" s="14"/>
      <c r="AH59" s="81">
        <v>84</v>
      </c>
      <c r="AI59" s="80">
        <v>75</v>
      </c>
      <c r="AJ59" s="79">
        <v>6</v>
      </c>
      <c r="AK59" s="80">
        <v>74</v>
      </c>
      <c r="AL59" s="79">
        <v>4</v>
      </c>
      <c r="AM59" s="80">
        <v>74</v>
      </c>
      <c r="AN59" s="79">
        <v>7</v>
      </c>
      <c r="AO59" s="80">
        <v>76</v>
      </c>
      <c r="AP59" s="79">
        <v>2</v>
      </c>
      <c r="AQ59" s="80">
        <v>77</v>
      </c>
      <c r="AR59" s="79">
        <v>4</v>
      </c>
      <c r="AS59" s="80">
        <f t="shared" si="4"/>
        <v>376</v>
      </c>
      <c r="AT59" s="79">
        <f t="shared" si="5"/>
        <v>23</v>
      </c>
      <c r="AU59" s="2"/>
      <c r="AV59" s="92">
        <v>6.5079999999999999E-2</v>
      </c>
      <c r="AW59" s="59">
        <f t="shared" si="6"/>
        <v>4.8810000000000002</v>
      </c>
      <c r="AX59" s="59">
        <f t="shared" si="7"/>
        <v>4.8159200000000002</v>
      </c>
      <c r="AY59" s="59">
        <f t="shared" si="8"/>
        <v>4.8159200000000002</v>
      </c>
      <c r="AZ59" s="59">
        <f t="shared" si="9"/>
        <v>4.9460800000000003</v>
      </c>
      <c r="BA59" s="59">
        <f t="shared" si="10"/>
        <v>5.0111600000000003</v>
      </c>
      <c r="BB59" s="91">
        <f t="shared" si="11"/>
        <v>24.470079999999999</v>
      </c>
      <c r="BC59" s="59"/>
      <c r="BD59" s="90">
        <f t="shared" si="12"/>
        <v>7.1674309121579627E-2</v>
      </c>
      <c r="BS59" s="14"/>
    </row>
    <row r="60" spans="3:71" x14ac:dyDescent="0.3">
      <c r="C60" s="13"/>
      <c r="D60" s="3">
        <v>85</v>
      </c>
      <c r="E60" s="95">
        <v>296</v>
      </c>
      <c r="F60" s="2">
        <v>19</v>
      </c>
      <c r="G60" s="94">
        <f t="shared" si="0"/>
        <v>6.4189189189189186E-2</v>
      </c>
      <c r="H60" s="94"/>
      <c r="I60" s="40">
        <v>7.3270000000000002E-2</v>
      </c>
      <c r="J60" s="59">
        <f t="shared" si="1"/>
        <v>21.687920000000002</v>
      </c>
      <c r="L60" s="59">
        <f t="shared" si="2"/>
        <v>0.87606372579758673</v>
      </c>
      <c r="N60" s="93">
        <f t="shared" si="3"/>
        <v>8.4795900830672746E-2</v>
      </c>
      <c r="AD60" s="14"/>
      <c r="AH60" s="81">
        <v>85</v>
      </c>
      <c r="AI60" s="80">
        <v>59</v>
      </c>
      <c r="AJ60" s="79">
        <v>3</v>
      </c>
      <c r="AK60" s="80">
        <v>58</v>
      </c>
      <c r="AL60" s="79">
        <v>6</v>
      </c>
      <c r="AM60" s="80">
        <v>59</v>
      </c>
      <c r="AN60" s="79">
        <v>2</v>
      </c>
      <c r="AO60" s="80">
        <v>60</v>
      </c>
      <c r="AP60" s="79">
        <v>5</v>
      </c>
      <c r="AQ60" s="80">
        <v>60</v>
      </c>
      <c r="AR60" s="79">
        <v>3</v>
      </c>
      <c r="AS60" s="80">
        <f t="shared" si="4"/>
        <v>296</v>
      </c>
      <c r="AT60" s="79">
        <f t="shared" si="5"/>
        <v>19</v>
      </c>
      <c r="AU60" s="2"/>
      <c r="AV60" s="92">
        <v>7.3270000000000002E-2</v>
      </c>
      <c r="AW60" s="59">
        <f t="shared" si="6"/>
        <v>4.3229300000000004</v>
      </c>
      <c r="AX60" s="59">
        <f t="shared" si="7"/>
        <v>4.2496600000000004</v>
      </c>
      <c r="AY60" s="59">
        <f t="shared" si="8"/>
        <v>4.3229300000000004</v>
      </c>
      <c r="AZ60" s="59">
        <f t="shared" si="9"/>
        <v>4.3962000000000003</v>
      </c>
      <c r="BA60" s="59">
        <f t="shared" si="10"/>
        <v>4.3962000000000003</v>
      </c>
      <c r="BB60" s="91">
        <f t="shared" si="11"/>
        <v>21.687920000000002</v>
      </c>
      <c r="BC60" s="59"/>
      <c r="BD60" s="90">
        <f t="shared" si="12"/>
        <v>8.0694170702798704E-2</v>
      </c>
      <c r="BS60" s="14"/>
    </row>
    <row r="61" spans="3:71" x14ac:dyDescent="0.3">
      <c r="C61" s="13"/>
      <c r="D61" s="3">
        <v>86</v>
      </c>
      <c r="E61" s="95">
        <v>201</v>
      </c>
      <c r="F61" s="2">
        <v>18</v>
      </c>
      <c r="G61" s="94">
        <f t="shared" si="0"/>
        <v>8.9552238805970144E-2</v>
      </c>
      <c r="H61" s="94"/>
      <c r="I61" s="40">
        <v>8.2589999999999997E-2</v>
      </c>
      <c r="J61" s="59">
        <f t="shared" si="1"/>
        <v>16.60059</v>
      </c>
      <c r="L61" s="59">
        <f t="shared" si="2"/>
        <v>1.0842988110663536</v>
      </c>
      <c r="N61" s="93">
        <f t="shared" si="3"/>
        <v>9.5582004225539266E-2</v>
      </c>
      <c r="AD61" s="14"/>
      <c r="AH61" s="81">
        <v>86</v>
      </c>
      <c r="AI61" s="80">
        <v>40</v>
      </c>
      <c r="AJ61" s="79">
        <v>3</v>
      </c>
      <c r="AK61" s="80">
        <v>39</v>
      </c>
      <c r="AL61" s="79">
        <v>2</v>
      </c>
      <c r="AM61" s="80">
        <v>40</v>
      </c>
      <c r="AN61" s="79">
        <v>4</v>
      </c>
      <c r="AO61" s="80">
        <v>41</v>
      </c>
      <c r="AP61" s="79">
        <v>5</v>
      </c>
      <c r="AQ61" s="80">
        <v>41</v>
      </c>
      <c r="AR61" s="79">
        <v>4</v>
      </c>
      <c r="AS61" s="80">
        <f t="shared" si="4"/>
        <v>201</v>
      </c>
      <c r="AT61" s="79">
        <f t="shared" si="5"/>
        <v>18</v>
      </c>
      <c r="AU61" s="2"/>
      <c r="AV61" s="92">
        <v>8.2589999999999997E-2</v>
      </c>
      <c r="AW61" s="59">
        <f t="shared" si="6"/>
        <v>3.3035999999999999</v>
      </c>
      <c r="AX61" s="59">
        <f t="shared" si="7"/>
        <v>3.2210099999999997</v>
      </c>
      <c r="AY61" s="59">
        <f t="shared" si="8"/>
        <v>3.3035999999999999</v>
      </c>
      <c r="AZ61" s="59">
        <f t="shared" si="9"/>
        <v>3.38619</v>
      </c>
      <c r="BA61" s="59">
        <f t="shared" si="10"/>
        <v>3.38619</v>
      </c>
      <c r="BB61" s="91">
        <f t="shared" si="11"/>
        <v>16.60059</v>
      </c>
      <c r="BC61" s="59"/>
      <c r="BD61" s="90">
        <f t="shared" si="12"/>
        <v>9.0958530890461922E-2</v>
      </c>
      <c r="BS61" s="14"/>
    </row>
    <row r="62" spans="3:71" x14ac:dyDescent="0.3">
      <c r="C62" s="13"/>
      <c r="D62" s="3">
        <v>87</v>
      </c>
      <c r="E62" s="95">
        <v>133</v>
      </c>
      <c r="F62" s="2">
        <v>12</v>
      </c>
      <c r="G62" s="94">
        <f t="shared" si="0"/>
        <v>9.0225563909774431E-2</v>
      </c>
      <c r="H62" s="94"/>
      <c r="I62" s="40">
        <v>9.3100000000000002E-2</v>
      </c>
      <c r="J62" s="59">
        <f t="shared" si="1"/>
        <v>12.382300000000001</v>
      </c>
      <c r="L62" s="59">
        <f t="shared" si="2"/>
        <v>0.96912528367104656</v>
      </c>
      <c r="N62" s="93">
        <f t="shared" si="3"/>
        <v>0.10774530322554432</v>
      </c>
      <c r="AD62" s="14"/>
      <c r="AH62" s="81">
        <v>87</v>
      </c>
      <c r="AI62" s="80">
        <v>27</v>
      </c>
      <c r="AJ62" s="79">
        <v>0</v>
      </c>
      <c r="AK62" s="80">
        <v>26</v>
      </c>
      <c r="AL62" s="79">
        <v>3</v>
      </c>
      <c r="AM62" s="80">
        <v>26</v>
      </c>
      <c r="AN62" s="79">
        <v>3</v>
      </c>
      <c r="AO62" s="80">
        <v>27</v>
      </c>
      <c r="AP62" s="79">
        <v>4</v>
      </c>
      <c r="AQ62" s="80">
        <v>27</v>
      </c>
      <c r="AR62" s="79">
        <v>2</v>
      </c>
      <c r="AS62" s="80">
        <f t="shared" si="4"/>
        <v>133</v>
      </c>
      <c r="AT62" s="79">
        <f t="shared" si="5"/>
        <v>12</v>
      </c>
      <c r="AU62" s="2"/>
      <c r="AV62" s="92">
        <v>9.3100000000000002E-2</v>
      </c>
      <c r="AW62" s="59">
        <f t="shared" si="6"/>
        <v>2.5137</v>
      </c>
      <c r="AX62" s="59">
        <f t="shared" si="7"/>
        <v>2.4205999999999999</v>
      </c>
      <c r="AY62" s="59">
        <f t="shared" si="8"/>
        <v>2.4205999999999999</v>
      </c>
      <c r="AZ62" s="59">
        <f t="shared" si="9"/>
        <v>2.5137</v>
      </c>
      <c r="BA62" s="59">
        <f t="shared" si="10"/>
        <v>2.5137</v>
      </c>
      <c r="BB62" s="91">
        <f t="shared" si="11"/>
        <v>12.382300000000001</v>
      </c>
      <c r="BC62" s="59"/>
      <c r="BD62" s="90">
        <f t="shared" si="12"/>
        <v>0.10253346925659287</v>
      </c>
      <c r="BS62" s="14"/>
    </row>
    <row r="63" spans="3:71" x14ac:dyDescent="0.3">
      <c r="C63" s="13"/>
      <c r="D63" s="3">
        <v>88</v>
      </c>
      <c r="E63" s="95">
        <v>90</v>
      </c>
      <c r="F63" s="2">
        <v>12</v>
      </c>
      <c r="G63" s="94">
        <f t="shared" si="0"/>
        <v>0.13333333333333333</v>
      </c>
      <c r="H63" s="94"/>
      <c r="I63" s="40">
        <v>0.10496999999999999</v>
      </c>
      <c r="J63" s="59">
        <f t="shared" si="1"/>
        <v>9.4473000000000003</v>
      </c>
      <c r="L63" s="59">
        <f t="shared" si="2"/>
        <v>1.2702041853227906</v>
      </c>
      <c r="N63" s="93">
        <f t="shared" si="3"/>
        <v>0.12148254005999341</v>
      </c>
      <c r="AD63" s="14"/>
      <c r="AH63" s="81">
        <v>88</v>
      </c>
      <c r="AI63" s="80">
        <v>18</v>
      </c>
      <c r="AJ63" s="79">
        <v>2</v>
      </c>
      <c r="AK63" s="80">
        <v>18</v>
      </c>
      <c r="AL63" s="79">
        <v>2</v>
      </c>
      <c r="AM63" s="80">
        <v>18</v>
      </c>
      <c r="AN63" s="79">
        <v>4</v>
      </c>
      <c r="AO63" s="80">
        <v>18</v>
      </c>
      <c r="AP63" s="79">
        <v>1</v>
      </c>
      <c r="AQ63" s="80">
        <v>18</v>
      </c>
      <c r="AR63" s="79">
        <v>3</v>
      </c>
      <c r="AS63" s="80">
        <f t="shared" si="4"/>
        <v>90</v>
      </c>
      <c r="AT63" s="79">
        <f t="shared" si="5"/>
        <v>12</v>
      </c>
      <c r="AU63" s="2"/>
      <c r="AV63" s="92">
        <v>0.10496999999999999</v>
      </c>
      <c r="AW63" s="59">
        <f t="shared" si="6"/>
        <v>1.8894599999999999</v>
      </c>
      <c r="AX63" s="59">
        <f t="shared" si="7"/>
        <v>1.8894599999999999</v>
      </c>
      <c r="AY63" s="59">
        <f t="shared" si="8"/>
        <v>1.8894599999999999</v>
      </c>
      <c r="AZ63" s="59">
        <f t="shared" si="9"/>
        <v>1.8894599999999999</v>
      </c>
      <c r="BA63" s="59">
        <f t="shared" si="10"/>
        <v>1.8894599999999999</v>
      </c>
      <c r="BB63" s="91">
        <f t="shared" si="11"/>
        <v>9.4473000000000003</v>
      </c>
      <c r="BC63" s="59"/>
      <c r="BD63" s="90">
        <f t="shared" si="12"/>
        <v>0.11560621125525836</v>
      </c>
      <c r="BS63" s="14"/>
    </row>
    <row r="64" spans="3:71" x14ac:dyDescent="0.3">
      <c r="C64" s="13"/>
      <c r="D64" s="3">
        <v>89</v>
      </c>
      <c r="E64" s="95">
        <v>69</v>
      </c>
      <c r="F64" s="2">
        <v>8</v>
      </c>
      <c r="G64" s="94">
        <f t="shared" si="0"/>
        <v>0.11594202898550725</v>
      </c>
      <c r="H64" s="94"/>
      <c r="I64" s="40">
        <v>0.11814</v>
      </c>
      <c r="J64" s="59">
        <f t="shared" si="1"/>
        <v>8.1516599999999997</v>
      </c>
      <c r="L64" s="59">
        <f t="shared" si="2"/>
        <v>0.98139520048677209</v>
      </c>
      <c r="N64" s="93">
        <f t="shared" si="3"/>
        <v>0.13672427629501402</v>
      </c>
      <c r="AD64" s="14"/>
      <c r="AH64" s="81">
        <v>89</v>
      </c>
      <c r="AI64" s="80">
        <v>14</v>
      </c>
      <c r="AJ64" s="79">
        <v>3</v>
      </c>
      <c r="AK64" s="80">
        <v>14</v>
      </c>
      <c r="AL64" s="79">
        <v>2</v>
      </c>
      <c r="AM64" s="80">
        <v>14</v>
      </c>
      <c r="AN64" s="79">
        <v>2</v>
      </c>
      <c r="AO64" s="80">
        <v>14</v>
      </c>
      <c r="AP64" s="79">
        <v>1</v>
      </c>
      <c r="AQ64" s="80">
        <v>13</v>
      </c>
      <c r="AR64" s="79">
        <v>0</v>
      </c>
      <c r="AS64" s="80">
        <f t="shared" si="4"/>
        <v>69</v>
      </c>
      <c r="AT64" s="79">
        <f t="shared" si="5"/>
        <v>8</v>
      </c>
      <c r="AU64" s="2"/>
      <c r="AV64" s="92">
        <v>0.11814</v>
      </c>
      <c r="AW64" s="59">
        <f t="shared" si="6"/>
        <v>1.6539599999999999</v>
      </c>
      <c r="AX64" s="59">
        <f t="shared" si="7"/>
        <v>1.6539599999999999</v>
      </c>
      <c r="AY64" s="59">
        <f t="shared" si="8"/>
        <v>1.6539599999999999</v>
      </c>
      <c r="AZ64" s="59">
        <f t="shared" si="9"/>
        <v>1.6539599999999999</v>
      </c>
      <c r="BA64" s="59">
        <f t="shared" si="10"/>
        <v>1.53582</v>
      </c>
      <c r="BB64" s="91">
        <f t="shared" si="11"/>
        <v>8.1516599999999997</v>
      </c>
      <c r="BC64" s="59"/>
      <c r="BD64" s="90">
        <f t="shared" si="12"/>
        <v>0.13011067731443482</v>
      </c>
      <c r="BS64" s="14"/>
    </row>
    <row r="65" spans="3:71" x14ac:dyDescent="0.3">
      <c r="C65" s="13"/>
      <c r="D65" s="3">
        <v>90</v>
      </c>
      <c r="E65" s="95">
        <v>74</v>
      </c>
      <c r="F65" s="2">
        <v>8</v>
      </c>
      <c r="G65" s="94">
        <f t="shared" si="0"/>
        <v>0.10810810810810811</v>
      </c>
      <c r="H65" s="94"/>
      <c r="I65" s="40">
        <v>0.13261999999999999</v>
      </c>
      <c r="J65" s="59">
        <f t="shared" si="1"/>
        <v>9.8138799999999993</v>
      </c>
      <c r="L65" s="59">
        <f t="shared" si="2"/>
        <v>0.81517198090867227</v>
      </c>
      <c r="N65" s="93">
        <f t="shared" si="3"/>
        <v>0.15348208500291821</v>
      </c>
      <c r="AD65" s="14"/>
      <c r="AH65" s="81">
        <v>90</v>
      </c>
      <c r="AI65" s="80">
        <v>15</v>
      </c>
      <c r="AJ65" s="79">
        <v>3</v>
      </c>
      <c r="AK65" s="80">
        <v>15</v>
      </c>
      <c r="AL65" s="79">
        <v>0</v>
      </c>
      <c r="AM65" s="80">
        <v>15</v>
      </c>
      <c r="AN65" s="79">
        <v>2</v>
      </c>
      <c r="AO65" s="80">
        <v>15</v>
      </c>
      <c r="AP65" s="79">
        <v>0</v>
      </c>
      <c r="AQ65" s="80">
        <v>14</v>
      </c>
      <c r="AR65" s="79">
        <v>3</v>
      </c>
      <c r="AS65" s="80">
        <f t="shared" si="4"/>
        <v>74</v>
      </c>
      <c r="AT65" s="79">
        <f t="shared" si="5"/>
        <v>8</v>
      </c>
      <c r="AU65" s="2"/>
      <c r="AV65" s="92">
        <v>0.13261999999999999</v>
      </c>
      <c r="AW65" s="59">
        <f t="shared" si="6"/>
        <v>1.9892999999999998</v>
      </c>
      <c r="AX65" s="59">
        <f t="shared" si="7"/>
        <v>1.9892999999999998</v>
      </c>
      <c r="AY65" s="59">
        <f t="shared" si="8"/>
        <v>1.9892999999999998</v>
      </c>
      <c r="AZ65" s="59">
        <f t="shared" si="9"/>
        <v>1.9892999999999998</v>
      </c>
      <c r="BA65" s="59">
        <f t="shared" si="10"/>
        <v>1.8566799999999999</v>
      </c>
      <c r="BB65" s="91">
        <f t="shared" si="11"/>
        <v>9.8138799999999993</v>
      </c>
      <c r="BC65" s="59"/>
      <c r="BD65" s="90">
        <f t="shared" si="12"/>
        <v>0.14605788069612616</v>
      </c>
      <c r="BS65" s="14"/>
    </row>
    <row r="66" spans="3:71" x14ac:dyDescent="0.3">
      <c r="C66" s="13"/>
      <c r="D66" s="3">
        <v>91</v>
      </c>
      <c r="E66" s="95">
        <v>53</v>
      </c>
      <c r="F66" s="2">
        <v>9</v>
      </c>
      <c r="G66" s="94">
        <f t="shared" si="0"/>
        <v>0.16981132075471697</v>
      </c>
      <c r="H66" s="94"/>
      <c r="I66" s="40">
        <v>0.14773</v>
      </c>
      <c r="J66" s="59">
        <f t="shared" si="1"/>
        <v>7.8296900000000003</v>
      </c>
      <c r="L66" s="59">
        <f t="shared" si="2"/>
        <v>1.1494707964172273</v>
      </c>
      <c r="N66" s="93">
        <f t="shared" si="3"/>
        <v>0.17096899726648401</v>
      </c>
      <c r="AD66" s="14"/>
      <c r="AH66" s="81">
        <v>91</v>
      </c>
      <c r="AI66" s="80">
        <v>11</v>
      </c>
      <c r="AJ66" s="79">
        <v>3</v>
      </c>
      <c r="AK66" s="80">
        <v>10</v>
      </c>
      <c r="AL66" s="79">
        <v>2</v>
      </c>
      <c r="AM66" s="80">
        <v>10</v>
      </c>
      <c r="AN66" s="79">
        <v>1</v>
      </c>
      <c r="AO66" s="80">
        <v>11</v>
      </c>
      <c r="AP66" s="79">
        <v>2</v>
      </c>
      <c r="AQ66" s="80">
        <v>11</v>
      </c>
      <c r="AR66" s="79">
        <v>1</v>
      </c>
      <c r="AS66" s="80">
        <f t="shared" si="4"/>
        <v>53</v>
      </c>
      <c r="AT66" s="79">
        <f t="shared" si="5"/>
        <v>9</v>
      </c>
      <c r="AU66" s="2"/>
      <c r="AV66" s="92">
        <v>0.14773</v>
      </c>
      <c r="AW66" s="59">
        <f t="shared" si="6"/>
        <v>1.62503</v>
      </c>
      <c r="AX66" s="59">
        <f t="shared" si="7"/>
        <v>1.4773000000000001</v>
      </c>
      <c r="AY66" s="59">
        <f t="shared" si="8"/>
        <v>1.4773000000000001</v>
      </c>
      <c r="AZ66" s="59">
        <f t="shared" si="9"/>
        <v>1.62503</v>
      </c>
      <c r="BA66" s="59">
        <f t="shared" si="10"/>
        <v>1.62503</v>
      </c>
      <c r="BB66" s="91">
        <f t="shared" si="11"/>
        <v>7.8296900000000003</v>
      </c>
      <c r="BC66" s="59"/>
      <c r="BD66" s="90">
        <f t="shared" si="12"/>
        <v>0.16269891958406513</v>
      </c>
      <c r="BS66" s="14"/>
    </row>
    <row r="67" spans="3:71" x14ac:dyDescent="0.3">
      <c r="C67" s="13"/>
      <c r="D67" s="3">
        <v>92</v>
      </c>
      <c r="E67" s="95">
        <v>42</v>
      </c>
      <c r="F67" s="2">
        <v>8</v>
      </c>
      <c r="G67" s="94">
        <f t="shared" si="0"/>
        <v>0.19047619047619047</v>
      </c>
      <c r="H67" s="94"/>
      <c r="I67" s="40">
        <v>0.16328999999999999</v>
      </c>
      <c r="J67" s="59">
        <f t="shared" si="1"/>
        <v>6.8581799999999999</v>
      </c>
      <c r="L67" s="59">
        <f t="shared" si="2"/>
        <v>1.1664902350186201</v>
      </c>
      <c r="N67" s="93">
        <f t="shared" si="3"/>
        <v>0.18897669778409379</v>
      </c>
      <c r="AD67" s="14"/>
      <c r="AH67" s="81">
        <v>92</v>
      </c>
      <c r="AI67" s="80">
        <v>8</v>
      </c>
      <c r="AJ67" s="79">
        <v>1</v>
      </c>
      <c r="AK67" s="80">
        <v>8</v>
      </c>
      <c r="AL67" s="79">
        <v>2</v>
      </c>
      <c r="AM67" s="80">
        <v>8</v>
      </c>
      <c r="AN67" s="79">
        <v>1</v>
      </c>
      <c r="AO67" s="80">
        <v>9</v>
      </c>
      <c r="AP67" s="79">
        <v>1</v>
      </c>
      <c r="AQ67" s="80">
        <v>9</v>
      </c>
      <c r="AR67" s="79">
        <v>3</v>
      </c>
      <c r="AS67" s="80">
        <f t="shared" si="4"/>
        <v>42</v>
      </c>
      <c r="AT67" s="79">
        <f t="shared" si="5"/>
        <v>8</v>
      </c>
      <c r="AU67" s="2"/>
      <c r="AV67" s="92">
        <v>0.16328999999999999</v>
      </c>
      <c r="AW67" s="59">
        <f t="shared" si="6"/>
        <v>1.3063199999999999</v>
      </c>
      <c r="AX67" s="59">
        <f t="shared" si="7"/>
        <v>1.3063199999999999</v>
      </c>
      <c r="AY67" s="59">
        <f t="shared" si="8"/>
        <v>1.3063199999999999</v>
      </c>
      <c r="AZ67" s="59">
        <f t="shared" si="9"/>
        <v>1.4696099999999999</v>
      </c>
      <c r="BA67" s="59">
        <f t="shared" si="10"/>
        <v>1.4696099999999999</v>
      </c>
      <c r="BB67" s="91">
        <f t="shared" si="11"/>
        <v>6.8581799999999999</v>
      </c>
      <c r="BC67" s="59"/>
      <c r="BD67" s="90">
        <f t="shared" si="12"/>
        <v>0.17983555526218098</v>
      </c>
      <c r="BS67" s="14"/>
    </row>
    <row r="68" spans="3:71" x14ac:dyDescent="0.3">
      <c r="C68" s="13"/>
      <c r="D68" s="3">
        <v>93</v>
      </c>
      <c r="E68" s="95">
        <v>17</v>
      </c>
      <c r="F68" s="2">
        <v>4</v>
      </c>
      <c r="G68" s="94">
        <f t="shared" si="0"/>
        <v>0.23529411764705882</v>
      </c>
      <c r="H68" s="94"/>
      <c r="I68" s="40">
        <v>0.17927000000000001</v>
      </c>
      <c r="J68" s="59">
        <f t="shared" si="1"/>
        <v>3.04759</v>
      </c>
      <c r="L68" s="59">
        <f t="shared" si="2"/>
        <v>1.3125125098848598</v>
      </c>
      <c r="N68" s="93">
        <f t="shared" si="3"/>
        <v>0.2074704673388113</v>
      </c>
      <c r="AD68" s="14"/>
      <c r="AH68" s="81">
        <v>93</v>
      </c>
      <c r="AI68" s="80">
        <v>3</v>
      </c>
      <c r="AJ68" s="79">
        <v>0</v>
      </c>
      <c r="AK68" s="80">
        <v>3</v>
      </c>
      <c r="AL68" s="79">
        <v>0</v>
      </c>
      <c r="AM68" s="80">
        <v>3</v>
      </c>
      <c r="AN68" s="79">
        <v>1</v>
      </c>
      <c r="AO68" s="80">
        <v>3</v>
      </c>
      <c r="AP68" s="79">
        <v>2</v>
      </c>
      <c r="AQ68" s="80">
        <v>5</v>
      </c>
      <c r="AR68" s="79">
        <v>1</v>
      </c>
      <c r="AS68" s="80">
        <f t="shared" si="4"/>
        <v>17</v>
      </c>
      <c r="AT68" s="79">
        <f t="shared" si="5"/>
        <v>4</v>
      </c>
      <c r="AU68" s="2"/>
      <c r="AV68" s="92">
        <v>0.17927000000000001</v>
      </c>
      <c r="AW68" s="59">
        <f t="shared" si="6"/>
        <v>0.53781000000000001</v>
      </c>
      <c r="AX68" s="59">
        <f t="shared" si="7"/>
        <v>0.53781000000000001</v>
      </c>
      <c r="AY68" s="59">
        <f t="shared" si="8"/>
        <v>0.53781000000000001</v>
      </c>
      <c r="AZ68" s="59">
        <f t="shared" si="9"/>
        <v>0.53781000000000001</v>
      </c>
      <c r="BA68" s="59">
        <f t="shared" si="10"/>
        <v>0.89635000000000009</v>
      </c>
      <c r="BB68" s="91">
        <f t="shared" si="11"/>
        <v>3.04759</v>
      </c>
      <c r="BC68" s="59"/>
      <c r="BD68" s="90">
        <f t="shared" si="12"/>
        <v>0.19743474794446192</v>
      </c>
      <c r="BS68" s="14"/>
    </row>
    <row r="69" spans="3:71" x14ac:dyDescent="0.3">
      <c r="C69" s="13"/>
      <c r="D69" s="3">
        <v>94</v>
      </c>
      <c r="E69" s="95">
        <v>8</v>
      </c>
      <c r="F69" s="2">
        <v>2</v>
      </c>
      <c r="G69" s="94">
        <f t="shared" si="0"/>
        <v>0.25</v>
      </c>
      <c r="H69" s="94"/>
      <c r="I69" s="40">
        <v>0.19542000000000001</v>
      </c>
      <c r="J69" s="59">
        <f t="shared" si="1"/>
        <v>1.5633600000000001</v>
      </c>
      <c r="L69" s="59">
        <f t="shared" si="2"/>
        <v>1.2792958755500972</v>
      </c>
      <c r="N69" s="93">
        <f t="shared" si="3"/>
        <v>0.22616097912283428</v>
      </c>
      <c r="AD69" s="14"/>
      <c r="AH69" s="81">
        <v>94</v>
      </c>
      <c r="AI69" s="80">
        <v>2</v>
      </c>
      <c r="AJ69" s="79">
        <v>1</v>
      </c>
      <c r="AK69" s="80">
        <v>2</v>
      </c>
      <c r="AL69" s="79">
        <v>0</v>
      </c>
      <c r="AM69" s="80">
        <v>2</v>
      </c>
      <c r="AN69" s="79">
        <v>0</v>
      </c>
      <c r="AO69" s="80">
        <v>2</v>
      </c>
      <c r="AP69" s="79">
        <v>1</v>
      </c>
      <c r="AQ69" s="80">
        <v>0</v>
      </c>
      <c r="AR69" s="79">
        <v>0</v>
      </c>
      <c r="AS69" s="80">
        <f t="shared" si="4"/>
        <v>8</v>
      </c>
      <c r="AT69" s="79">
        <f t="shared" si="5"/>
        <v>2</v>
      </c>
      <c r="AU69" s="2"/>
      <c r="AV69" s="92">
        <v>0.19542000000000001</v>
      </c>
      <c r="AW69" s="59">
        <f t="shared" si="6"/>
        <v>0.39084000000000002</v>
      </c>
      <c r="AX69" s="59">
        <f t="shared" si="7"/>
        <v>0.39084000000000002</v>
      </c>
      <c r="AY69" s="59">
        <f t="shared" si="8"/>
        <v>0.39084000000000002</v>
      </c>
      <c r="AZ69" s="59">
        <f t="shared" si="9"/>
        <v>0.39084000000000002</v>
      </c>
      <c r="BA69" s="59">
        <f t="shared" si="10"/>
        <v>0</v>
      </c>
      <c r="BB69" s="91">
        <f t="shared" si="11"/>
        <v>1.5633600000000001</v>
      </c>
      <c r="BC69" s="59"/>
      <c r="BD69" s="90">
        <f t="shared" si="12"/>
        <v>0.21522116608080966</v>
      </c>
      <c r="BS69" s="14"/>
    </row>
    <row r="70" spans="3:71" x14ac:dyDescent="0.3">
      <c r="C70" s="13"/>
      <c r="D70" s="3">
        <v>95</v>
      </c>
      <c r="E70" s="95">
        <v>12</v>
      </c>
      <c r="F70" s="2">
        <v>3</v>
      </c>
      <c r="G70" s="94">
        <f t="shared" si="0"/>
        <v>0.25</v>
      </c>
      <c r="H70" s="94"/>
      <c r="I70" s="40">
        <v>0.2117</v>
      </c>
      <c r="J70" s="59">
        <f t="shared" si="1"/>
        <v>2.5404</v>
      </c>
      <c r="L70" s="59">
        <f t="shared" si="2"/>
        <v>1.1809163911195086</v>
      </c>
      <c r="N70" s="93">
        <f t="shared" si="3"/>
        <v>0.24500194084691443</v>
      </c>
      <c r="AD70" s="14"/>
      <c r="AH70" s="81">
        <v>95</v>
      </c>
      <c r="AI70" s="80">
        <v>2</v>
      </c>
      <c r="AJ70" s="79">
        <v>0</v>
      </c>
      <c r="AK70" s="80">
        <v>2</v>
      </c>
      <c r="AL70" s="79">
        <v>0</v>
      </c>
      <c r="AM70" s="80">
        <v>2</v>
      </c>
      <c r="AN70" s="79">
        <v>2</v>
      </c>
      <c r="AO70" s="80">
        <v>2</v>
      </c>
      <c r="AP70" s="79">
        <v>0</v>
      </c>
      <c r="AQ70" s="80">
        <v>4</v>
      </c>
      <c r="AR70" s="79">
        <v>1</v>
      </c>
      <c r="AS70" s="80">
        <f t="shared" si="4"/>
        <v>12</v>
      </c>
      <c r="AT70" s="79">
        <f t="shared" si="5"/>
        <v>3</v>
      </c>
      <c r="AU70" s="2"/>
      <c r="AV70" s="92">
        <v>0.2117</v>
      </c>
      <c r="AW70" s="59">
        <f t="shared" si="6"/>
        <v>0.4234</v>
      </c>
      <c r="AX70" s="59">
        <f t="shared" si="7"/>
        <v>0.4234</v>
      </c>
      <c r="AY70" s="59">
        <f t="shared" si="8"/>
        <v>0.4234</v>
      </c>
      <c r="AZ70" s="59">
        <f t="shared" si="9"/>
        <v>0.4234</v>
      </c>
      <c r="BA70" s="59">
        <f t="shared" si="10"/>
        <v>0.8468</v>
      </c>
      <c r="BB70" s="91">
        <f t="shared" si="11"/>
        <v>2.5404</v>
      </c>
      <c r="BC70" s="59"/>
      <c r="BD70" s="90">
        <f t="shared" si="12"/>
        <v>0.2331507566232085</v>
      </c>
      <c r="BS70" s="14"/>
    </row>
    <row r="71" spans="3:71" x14ac:dyDescent="0.3">
      <c r="C71" s="13"/>
      <c r="D71" s="3">
        <v>96</v>
      </c>
      <c r="E71" s="95">
        <v>8</v>
      </c>
      <c r="F71" s="2">
        <v>3</v>
      </c>
      <c r="G71" s="94">
        <f t="shared" si="0"/>
        <v>0.375</v>
      </c>
      <c r="H71" s="94"/>
      <c r="I71" s="40">
        <v>0.22903999999999999</v>
      </c>
      <c r="J71" s="59">
        <f t="shared" si="1"/>
        <v>1.8323199999999999</v>
      </c>
      <c r="L71" s="59">
        <f t="shared" si="2"/>
        <v>1.637268599371289</v>
      </c>
      <c r="N71" s="93">
        <f t="shared" si="3"/>
        <v>0.26506964823607593</v>
      </c>
      <c r="AD71" s="14"/>
      <c r="AH71" s="81">
        <v>96</v>
      </c>
      <c r="AI71" s="80">
        <v>2</v>
      </c>
      <c r="AJ71" s="79">
        <v>1</v>
      </c>
      <c r="AK71" s="80">
        <v>2</v>
      </c>
      <c r="AL71" s="79">
        <v>0</v>
      </c>
      <c r="AM71" s="80">
        <v>2</v>
      </c>
      <c r="AN71" s="79">
        <v>1</v>
      </c>
      <c r="AO71" s="80">
        <v>2</v>
      </c>
      <c r="AP71" s="79">
        <v>1</v>
      </c>
      <c r="AQ71" s="80">
        <v>0</v>
      </c>
      <c r="AR71" s="79">
        <v>0</v>
      </c>
      <c r="AS71" s="80">
        <f t="shared" si="4"/>
        <v>8</v>
      </c>
      <c r="AT71" s="79">
        <f t="shared" si="5"/>
        <v>3</v>
      </c>
      <c r="AU71" s="2"/>
      <c r="AV71" s="92">
        <v>0.22903999999999999</v>
      </c>
      <c r="AW71" s="59">
        <f t="shared" si="6"/>
        <v>0.45807999999999999</v>
      </c>
      <c r="AX71" s="59">
        <f t="shared" si="7"/>
        <v>0.45807999999999999</v>
      </c>
      <c r="AY71" s="59">
        <f t="shared" si="8"/>
        <v>0.45807999999999999</v>
      </c>
      <c r="AZ71" s="59">
        <f t="shared" si="9"/>
        <v>0.45807999999999999</v>
      </c>
      <c r="BA71" s="59">
        <f t="shared" si="10"/>
        <v>0</v>
      </c>
      <c r="BB71" s="91">
        <f t="shared" si="11"/>
        <v>1.8323199999999999</v>
      </c>
      <c r="BC71" s="59"/>
      <c r="BD71" s="90">
        <f t="shared" si="12"/>
        <v>0.25224775293802393</v>
      </c>
      <c r="BS71" s="14"/>
    </row>
    <row r="72" spans="3:71" x14ac:dyDescent="0.3">
      <c r="C72" s="13"/>
      <c r="D72" s="3">
        <v>97</v>
      </c>
      <c r="E72" s="95">
        <v>7</v>
      </c>
      <c r="F72" s="2">
        <v>3</v>
      </c>
      <c r="G72" s="94">
        <f t="shared" si="0"/>
        <v>0.42857142857142855</v>
      </c>
      <c r="H72" s="94"/>
      <c r="I72" s="40">
        <v>0.24682000000000001</v>
      </c>
      <c r="J72" s="59">
        <f t="shared" si="1"/>
        <v>1.7277400000000001</v>
      </c>
      <c r="L72" s="59">
        <f t="shared" si="2"/>
        <v>1.7363723708428351</v>
      </c>
      <c r="N72" s="93">
        <f t="shared" si="3"/>
        <v>0.28564657080696937</v>
      </c>
      <c r="AD72" s="14"/>
      <c r="AH72" s="81">
        <v>97</v>
      </c>
      <c r="AI72" s="80">
        <v>2</v>
      </c>
      <c r="AJ72" s="79">
        <v>2</v>
      </c>
      <c r="AK72" s="80">
        <v>1</v>
      </c>
      <c r="AL72" s="79">
        <v>0</v>
      </c>
      <c r="AM72" s="80">
        <v>1</v>
      </c>
      <c r="AN72" s="79">
        <v>0</v>
      </c>
      <c r="AO72" s="80">
        <v>1</v>
      </c>
      <c r="AP72" s="79">
        <v>0</v>
      </c>
      <c r="AQ72" s="80">
        <v>2</v>
      </c>
      <c r="AR72" s="79">
        <v>1</v>
      </c>
      <c r="AS72" s="80">
        <f t="shared" si="4"/>
        <v>7</v>
      </c>
      <c r="AT72" s="79">
        <f t="shared" si="5"/>
        <v>3</v>
      </c>
      <c r="AU72" s="2"/>
      <c r="AV72" s="92">
        <v>0.24682000000000001</v>
      </c>
      <c r="AW72" s="59">
        <f t="shared" si="6"/>
        <v>0.49364000000000002</v>
      </c>
      <c r="AX72" s="59">
        <f t="shared" si="7"/>
        <v>0.24682000000000001</v>
      </c>
      <c r="AY72" s="59">
        <f t="shared" si="8"/>
        <v>0.24682000000000001</v>
      </c>
      <c r="AZ72" s="59">
        <f t="shared" si="9"/>
        <v>0.24682000000000001</v>
      </c>
      <c r="BA72" s="59">
        <f t="shared" si="10"/>
        <v>0.49364000000000002</v>
      </c>
      <c r="BB72" s="91">
        <f t="shared" si="11"/>
        <v>1.7277400000000001</v>
      </c>
      <c r="BC72" s="59"/>
      <c r="BD72" s="90">
        <f t="shared" si="12"/>
        <v>0.2718293327810124</v>
      </c>
      <c r="BS72" s="14"/>
    </row>
    <row r="73" spans="3:71" x14ac:dyDescent="0.3">
      <c r="C73" s="13"/>
      <c r="D73" s="3">
        <v>98</v>
      </c>
      <c r="E73" s="95">
        <v>3</v>
      </c>
      <c r="F73" s="2">
        <v>1</v>
      </c>
      <c r="G73" s="94">
        <f t="shared" si="0"/>
        <v>0.33333333333333331</v>
      </c>
      <c r="H73" s="94"/>
      <c r="I73" s="40">
        <v>0.26512999999999998</v>
      </c>
      <c r="J73" s="59">
        <f t="shared" si="1"/>
        <v>0.79538999999999993</v>
      </c>
      <c r="L73" s="59">
        <f t="shared" si="2"/>
        <v>1.257244873584028</v>
      </c>
      <c r="N73" s="93">
        <f t="shared" si="3"/>
        <v>0.30683686621040346</v>
      </c>
      <c r="AD73" s="14"/>
      <c r="AH73" s="81">
        <v>98</v>
      </c>
      <c r="AI73" s="80">
        <v>1</v>
      </c>
      <c r="AJ73" s="79">
        <v>0</v>
      </c>
      <c r="AK73" s="80">
        <v>1</v>
      </c>
      <c r="AL73" s="79">
        <v>1</v>
      </c>
      <c r="AM73" s="80">
        <v>1</v>
      </c>
      <c r="AN73" s="79">
        <v>0</v>
      </c>
      <c r="AO73" s="80">
        <v>1</v>
      </c>
      <c r="AP73" s="79">
        <v>0</v>
      </c>
      <c r="AQ73" s="80">
        <v>0</v>
      </c>
      <c r="AR73" s="79">
        <v>0</v>
      </c>
      <c r="AS73" s="80">
        <f t="shared" si="4"/>
        <v>4</v>
      </c>
      <c r="AT73" s="79">
        <f t="shared" si="5"/>
        <v>1</v>
      </c>
      <c r="AU73" s="2"/>
      <c r="AV73" s="92">
        <v>0.26512999999999998</v>
      </c>
      <c r="AW73" s="59">
        <f t="shared" si="6"/>
        <v>0.26512999999999998</v>
      </c>
      <c r="AX73" s="59">
        <f t="shared" si="7"/>
        <v>0.26512999999999998</v>
      </c>
      <c r="AY73" s="59">
        <f t="shared" si="8"/>
        <v>0.26512999999999998</v>
      </c>
      <c r="AZ73" s="59">
        <f t="shared" si="9"/>
        <v>0.26512999999999998</v>
      </c>
      <c r="BA73" s="59">
        <f t="shared" si="10"/>
        <v>0</v>
      </c>
      <c r="BB73" s="91">
        <f t="shared" si="11"/>
        <v>1.0605199999999999</v>
      </c>
      <c r="BC73" s="59"/>
      <c r="BD73" s="90">
        <f t="shared" si="12"/>
        <v>0.29199461551020905</v>
      </c>
      <c r="BS73" s="14"/>
    </row>
    <row r="74" spans="3:71" x14ac:dyDescent="0.3">
      <c r="C74" s="13"/>
      <c r="AD74" s="14"/>
      <c r="AH74" s="13"/>
      <c r="AI74" s="13"/>
      <c r="AJ74" s="14"/>
      <c r="AK74" s="13"/>
      <c r="AL74" s="14"/>
      <c r="AM74" s="13"/>
      <c r="AN74" s="14"/>
      <c r="AO74" s="13"/>
      <c r="AP74" s="14"/>
      <c r="AQ74" s="13"/>
      <c r="AR74" s="14"/>
      <c r="AS74" s="13"/>
      <c r="AT74" s="14"/>
      <c r="AV74" s="13"/>
      <c r="BB74" s="14"/>
      <c r="BD74" s="89"/>
      <c r="BS74" s="14"/>
    </row>
    <row r="75" spans="3:71" x14ac:dyDescent="0.3">
      <c r="C75" s="22"/>
      <c r="D75" s="23" t="s">
        <v>90</v>
      </c>
      <c r="E75" s="24">
        <f>SUM(E30:E73)</f>
        <v>67358</v>
      </c>
      <c r="F75" s="24">
        <f>SUM(F30:F73)</f>
        <v>949</v>
      </c>
      <c r="G75" s="23"/>
      <c r="H75" s="23"/>
      <c r="I75" s="23"/>
      <c r="J75" s="24">
        <f>SUM(J30:J73)</f>
        <v>790.70506</v>
      </c>
      <c r="K75" s="23"/>
      <c r="L75" s="23"/>
      <c r="M75" s="23"/>
      <c r="N75" s="23"/>
      <c r="O75" s="23"/>
      <c r="P75" s="23"/>
      <c r="Q75" s="23"/>
      <c r="R75" s="23"/>
      <c r="S75" s="23"/>
      <c r="T75" s="23"/>
      <c r="U75" s="23"/>
      <c r="V75" s="23"/>
      <c r="W75" s="23"/>
      <c r="X75" s="23"/>
      <c r="Y75" s="23"/>
      <c r="Z75" s="23"/>
      <c r="AA75" s="23"/>
      <c r="AB75" s="23"/>
      <c r="AC75" s="23"/>
      <c r="AD75" s="29"/>
      <c r="AH75" s="22" t="s">
        <v>90</v>
      </c>
      <c r="AI75" s="39">
        <f t="shared" ref="AI75:AT75" si="13">SUM(AI30:AI73)</f>
        <v>13475</v>
      </c>
      <c r="AJ75" s="25">
        <f t="shared" si="13"/>
        <v>188</v>
      </c>
      <c r="AK75" s="39">
        <f t="shared" si="13"/>
        <v>13206</v>
      </c>
      <c r="AL75" s="25">
        <f t="shared" si="13"/>
        <v>194</v>
      </c>
      <c r="AM75" s="39">
        <f t="shared" si="13"/>
        <v>13338</v>
      </c>
      <c r="AN75" s="25">
        <f t="shared" si="13"/>
        <v>202</v>
      </c>
      <c r="AO75" s="39">
        <f t="shared" si="13"/>
        <v>13673</v>
      </c>
      <c r="AP75" s="25">
        <f t="shared" si="13"/>
        <v>185</v>
      </c>
      <c r="AQ75" s="39">
        <f t="shared" si="13"/>
        <v>13666</v>
      </c>
      <c r="AR75" s="25">
        <f t="shared" si="13"/>
        <v>180</v>
      </c>
      <c r="AS75" s="39">
        <f t="shared" si="13"/>
        <v>67358</v>
      </c>
      <c r="AT75" s="25">
        <f t="shared" si="13"/>
        <v>949</v>
      </c>
      <c r="AU75" s="24"/>
      <c r="AV75" s="22"/>
      <c r="AW75" s="24">
        <f t="shared" ref="AW75:BB75" si="14">SUM(AW30:AW73)</f>
        <v>158.48522</v>
      </c>
      <c r="AX75" s="24">
        <f t="shared" si="14"/>
        <v>155.12472000000005</v>
      </c>
      <c r="AY75" s="24">
        <f t="shared" si="14"/>
        <v>156.57986000000002</v>
      </c>
      <c r="AZ75" s="24">
        <f t="shared" si="14"/>
        <v>160.59269999999998</v>
      </c>
      <c r="BA75" s="24">
        <f t="shared" si="14"/>
        <v>160.18597000000003</v>
      </c>
      <c r="BB75" s="25">
        <f t="shared" si="14"/>
        <v>790.96846999999991</v>
      </c>
      <c r="BC75" s="39"/>
      <c r="BD75" s="88"/>
      <c r="BE75" s="23"/>
      <c r="BF75" s="23"/>
      <c r="BG75" s="23"/>
      <c r="BH75" s="23"/>
      <c r="BI75" s="23"/>
      <c r="BJ75" s="23"/>
      <c r="BK75" s="23"/>
      <c r="BL75" s="23"/>
      <c r="BM75" s="23"/>
      <c r="BN75" s="23"/>
      <c r="BO75" s="23"/>
      <c r="BP75" s="23"/>
      <c r="BQ75" s="23"/>
      <c r="BR75" s="23"/>
      <c r="BS75" s="29"/>
    </row>
  </sheetData>
  <mergeCells count="7">
    <mergeCell ref="AN9:AT20"/>
    <mergeCell ref="AI28:AJ28"/>
    <mergeCell ref="AK28:AL28"/>
    <mergeCell ref="AM28:AN28"/>
    <mergeCell ref="AO28:AP28"/>
    <mergeCell ref="AQ28:AR28"/>
    <mergeCell ref="AS28:AT2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B94BE-291B-4AEB-83C4-CDB4EE9DDAB1}">
  <sheetPr>
    <tabColor theme="5" tint="0.39997558519241921"/>
  </sheetPr>
  <dimension ref="A1:AS23"/>
  <sheetViews>
    <sheetView zoomScale="115" zoomScaleNormal="115" workbookViewId="0"/>
  </sheetViews>
  <sheetFormatPr defaultRowHeight="14.4" x14ac:dyDescent="0.3"/>
  <cols>
    <col min="1" max="1" width="5.6640625" customWidth="1"/>
    <col min="13" max="13" width="56.88671875" customWidth="1"/>
    <col min="14" max="14" width="3.5546875" customWidth="1"/>
    <col min="15" max="15" width="18.5546875" bestFit="1" customWidth="1"/>
    <col min="16" max="16" width="20.33203125" bestFit="1" customWidth="1"/>
    <col min="17" max="17" width="16.88671875" bestFit="1" customWidth="1"/>
    <col min="18" max="18" width="6.44140625" customWidth="1"/>
    <col min="19" max="19" width="18.5546875" bestFit="1" customWidth="1"/>
    <col min="20" max="20" width="23" customWidth="1"/>
    <col min="21" max="21" width="18.5546875" customWidth="1"/>
    <col min="22" max="22" width="3.44140625" customWidth="1"/>
    <col min="23" max="23" width="18.5546875" bestFit="1" customWidth="1"/>
    <col min="24" max="24" width="20.33203125" bestFit="1" customWidth="1"/>
    <col min="25" max="25" width="18.5546875" bestFit="1" customWidth="1"/>
    <col min="26" max="26" width="4" customWidth="1"/>
    <col min="27" max="27" width="18.5546875" bestFit="1" customWidth="1"/>
    <col min="28" max="28" width="20.33203125" bestFit="1" customWidth="1"/>
    <col min="29" max="29" width="18.5546875" bestFit="1" customWidth="1"/>
    <col min="31" max="31" width="18.5546875" bestFit="1" customWidth="1"/>
    <col min="32" max="32" width="20.33203125" bestFit="1" customWidth="1"/>
    <col min="33" max="33" width="16.88671875" bestFit="1" customWidth="1"/>
    <col min="35" max="35" width="18.5546875" bestFit="1" customWidth="1"/>
    <col min="36" max="36" width="20.33203125" bestFit="1" customWidth="1"/>
    <col min="37" max="37" width="16.88671875" bestFit="1" customWidth="1"/>
    <col min="39" max="39" width="23.33203125" customWidth="1"/>
    <col min="40" max="40" width="20.33203125" bestFit="1" customWidth="1"/>
    <col min="41" max="41" width="16.88671875" bestFit="1" customWidth="1"/>
    <col min="43" max="43" width="18.5546875" bestFit="1" customWidth="1"/>
    <col min="44" max="44" width="20.33203125" bestFit="1" customWidth="1"/>
    <col min="45" max="45" width="16.88671875" bestFit="1" customWidth="1"/>
  </cols>
  <sheetData>
    <row r="1" spans="1:45" x14ac:dyDescent="0.3">
      <c r="A1" s="186" t="s">
        <v>222</v>
      </c>
    </row>
    <row r="3" spans="1:45" x14ac:dyDescent="0.3">
      <c r="A3" s="1" t="s">
        <v>1</v>
      </c>
    </row>
    <row r="4" spans="1:45" x14ac:dyDescent="0.3">
      <c r="A4" t="s">
        <v>146</v>
      </c>
    </row>
    <row r="6" spans="1:45" x14ac:dyDescent="0.3">
      <c r="O6" s="200" t="s">
        <v>118</v>
      </c>
      <c r="P6" s="204"/>
      <c r="Q6" s="201"/>
      <c r="S6" s="200" t="s">
        <v>12</v>
      </c>
      <c r="T6" s="202"/>
      <c r="U6" s="203"/>
      <c r="W6" s="200" t="s">
        <v>13</v>
      </c>
      <c r="X6" s="202"/>
      <c r="Y6" s="203"/>
      <c r="AA6" s="200" t="s">
        <v>14</v>
      </c>
      <c r="AB6" s="202"/>
      <c r="AC6" s="203"/>
      <c r="AE6" s="200" t="s">
        <v>15</v>
      </c>
      <c r="AF6" s="202"/>
      <c r="AG6" s="203"/>
      <c r="AI6" s="200" t="s">
        <v>119</v>
      </c>
      <c r="AJ6" s="202"/>
      <c r="AK6" s="203"/>
      <c r="AM6" s="200" t="s">
        <v>120</v>
      </c>
      <c r="AN6" s="202"/>
      <c r="AO6" s="203"/>
      <c r="AQ6" s="200" t="s">
        <v>121</v>
      </c>
      <c r="AR6" s="202"/>
      <c r="AS6" s="203"/>
    </row>
    <row r="7" spans="1:45" x14ac:dyDescent="0.3">
      <c r="B7" s="188" t="s">
        <v>207</v>
      </c>
      <c r="C7" s="188"/>
      <c r="D7" s="188"/>
      <c r="E7" s="188"/>
      <c r="F7" s="188"/>
      <c r="G7" s="188"/>
      <c r="H7" s="188"/>
      <c r="I7" s="188"/>
      <c r="J7" s="188"/>
      <c r="K7" s="188"/>
      <c r="M7" s="52" t="s">
        <v>122</v>
      </c>
      <c r="N7" s="52"/>
      <c r="O7" s="36" t="s">
        <v>123</v>
      </c>
      <c r="P7" s="9" t="s">
        <v>124</v>
      </c>
      <c r="Q7" s="44" t="s">
        <v>125</v>
      </c>
      <c r="S7" s="36" t="s">
        <v>123</v>
      </c>
      <c r="T7" s="9" t="s">
        <v>124</v>
      </c>
      <c r="U7" s="44" t="s">
        <v>125</v>
      </c>
      <c r="W7" s="36" t="s">
        <v>123</v>
      </c>
      <c r="X7" s="9" t="s">
        <v>124</v>
      </c>
      <c r="Y7" s="44" t="s">
        <v>125</v>
      </c>
      <c r="AA7" s="36" t="s">
        <v>123</v>
      </c>
      <c r="AB7" s="9" t="s">
        <v>124</v>
      </c>
      <c r="AC7" s="44" t="s">
        <v>125</v>
      </c>
      <c r="AE7" s="36" t="s">
        <v>123</v>
      </c>
      <c r="AF7" s="9" t="s">
        <v>124</v>
      </c>
      <c r="AG7" s="44" t="s">
        <v>125</v>
      </c>
      <c r="AI7" s="36" t="s">
        <v>123</v>
      </c>
      <c r="AJ7" s="9" t="s">
        <v>124</v>
      </c>
      <c r="AK7" s="44" t="s">
        <v>125</v>
      </c>
      <c r="AM7" s="36" t="s">
        <v>123</v>
      </c>
      <c r="AN7" s="9" t="s">
        <v>124</v>
      </c>
      <c r="AO7" s="44" t="s">
        <v>125</v>
      </c>
      <c r="AQ7" s="36" t="s">
        <v>123</v>
      </c>
      <c r="AR7" s="9" t="s">
        <v>124</v>
      </c>
      <c r="AS7" s="44" t="s">
        <v>125</v>
      </c>
    </row>
    <row r="8" spans="1:45" x14ac:dyDescent="0.3">
      <c r="B8" s="188"/>
      <c r="C8" s="188"/>
      <c r="D8" s="188"/>
      <c r="E8" s="188"/>
      <c r="F8" s="188"/>
      <c r="G8" s="188"/>
      <c r="H8" s="188"/>
      <c r="I8" s="188"/>
      <c r="J8" s="188"/>
      <c r="K8" s="188"/>
      <c r="M8" t="s">
        <v>126</v>
      </c>
      <c r="O8" s="103">
        <v>-6500000</v>
      </c>
      <c r="P8" s="17">
        <v>-500000</v>
      </c>
      <c r="Q8" s="18">
        <v>-7000000</v>
      </c>
      <c r="S8" s="103">
        <v>-6500000</v>
      </c>
      <c r="T8" s="17">
        <v>0</v>
      </c>
      <c r="U8" s="18">
        <v>-6500000</v>
      </c>
      <c r="W8" s="103">
        <v>-12500000</v>
      </c>
      <c r="X8" s="17">
        <v>-500000</v>
      </c>
      <c r="Y8" s="18">
        <v>-13000000</v>
      </c>
      <c r="AA8" s="103">
        <v>-12500000</v>
      </c>
      <c r="AB8" s="17">
        <v>-500000</v>
      </c>
      <c r="AC8" s="18">
        <v>-13000000</v>
      </c>
      <c r="AE8" s="103">
        <v>-6500000</v>
      </c>
      <c r="AF8" s="17">
        <v>-1500000</v>
      </c>
      <c r="AG8" s="18">
        <v>-8000000</v>
      </c>
      <c r="AI8" s="103">
        <v>-6500000</v>
      </c>
      <c r="AJ8" s="17">
        <v>-1500000</v>
      </c>
      <c r="AK8" s="18">
        <v>-8000000</v>
      </c>
      <c r="AM8" s="103">
        <v>-13500000</v>
      </c>
      <c r="AN8" s="17">
        <v>-1500000</v>
      </c>
      <c r="AO8" s="18">
        <v>-15000000</v>
      </c>
      <c r="AQ8" s="103">
        <v>-13500000</v>
      </c>
      <c r="AR8" s="17">
        <v>-1500000</v>
      </c>
      <c r="AS8" s="18">
        <v>-15000000</v>
      </c>
    </row>
    <row r="9" spans="1:45" x14ac:dyDescent="0.3">
      <c r="B9" s="188"/>
      <c r="C9" s="188"/>
      <c r="D9" s="188"/>
      <c r="E9" s="188"/>
      <c r="F9" s="188"/>
      <c r="G9" s="188"/>
      <c r="H9" s="188"/>
      <c r="I9" s="188"/>
      <c r="J9" s="188"/>
      <c r="K9" s="188"/>
      <c r="M9" t="s">
        <v>127</v>
      </c>
      <c r="O9" s="103">
        <v>-7000000</v>
      </c>
      <c r="P9" s="17">
        <v>0</v>
      </c>
      <c r="Q9" s="18">
        <v>-7000000</v>
      </c>
      <c r="S9" s="103">
        <v>-7000000</v>
      </c>
      <c r="T9" s="17">
        <v>0</v>
      </c>
      <c r="U9" s="18">
        <v>-7000000</v>
      </c>
      <c r="W9" s="103">
        <v>-13000000</v>
      </c>
      <c r="X9" s="17">
        <v>0</v>
      </c>
      <c r="Y9" s="18">
        <f>-13000000</f>
        <v>-13000000</v>
      </c>
      <c r="AA9" s="103">
        <v>-13000000</v>
      </c>
      <c r="AB9" s="17">
        <v>0</v>
      </c>
      <c r="AC9" s="18">
        <f>-13000000</f>
        <v>-13000000</v>
      </c>
      <c r="AE9" s="103">
        <v>-8000000</v>
      </c>
      <c r="AF9" s="17">
        <v>0</v>
      </c>
      <c r="AG9" s="18">
        <v>-8000000</v>
      </c>
      <c r="AI9" s="103">
        <v>-8000000</v>
      </c>
      <c r="AJ9" s="17">
        <v>0</v>
      </c>
      <c r="AK9" s="18">
        <v>-8000000</v>
      </c>
      <c r="AM9" s="103">
        <v>-15000000</v>
      </c>
      <c r="AN9" s="17">
        <v>0</v>
      </c>
      <c r="AO9" s="18">
        <v>-15000000</v>
      </c>
      <c r="AQ9" s="103">
        <v>-15000000</v>
      </c>
      <c r="AR9" s="17">
        <v>0</v>
      </c>
      <c r="AS9" s="18">
        <v>-15000000</v>
      </c>
    </row>
    <row r="10" spans="1:45" x14ac:dyDescent="0.3">
      <c r="B10" s="188"/>
      <c r="C10" s="188"/>
      <c r="D10" s="188"/>
      <c r="E10" s="188"/>
      <c r="F10" s="188"/>
      <c r="G10" s="188"/>
      <c r="H10" s="188"/>
      <c r="I10" s="188"/>
      <c r="J10" s="188"/>
      <c r="K10" s="188"/>
      <c r="M10" t="s">
        <v>128</v>
      </c>
      <c r="O10" s="103">
        <v>-15000000</v>
      </c>
      <c r="P10" s="17">
        <v>8000000</v>
      </c>
      <c r="Q10" s="18">
        <v>-7000000</v>
      </c>
      <c r="S10" s="103">
        <v>-15000000</v>
      </c>
      <c r="T10" s="17">
        <v>8000000</v>
      </c>
      <c r="U10" s="18">
        <v>-7000000</v>
      </c>
      <c r="W10" s="103">
        <v>-15000000</v>
      </c>
      <c r="X10" s="17">
        <v>2000000</v>
      </c>
      <c r="Y10" s="18">
        <v>-13000000</v>
      </c>
      <c r="AA10" s="103">
        <v>-15000000</v>
      </c>
      <c r="AB10" s="17">
        <v>2000000</v>
      </c>
      <c r="AC10" s="18">
        <v>-13000000</v>
      </c>
      <c r="AE10" s="103">
        <v>-15000000</v>
      </c>
      <c r="AF10" s="17">
        <v>7000000</v>
      </c>
      <c r="AG10" s="18">
        <v>-8000000</v>
      </c>
      <c r="AI10" s="103">
        <v>-15000000</v>
      </c>
      <c r="AJ10" s="17">
        <v>7000000</v>
      </c>
      <c r="AK10" s="18">
        <v>-8000000</v>
      </c>
      <c r="AM10" s="103">
        <v>-15000000</v>
      </c>
      <c r="AN10" s="17">
        <v>0</v>
      </c>
      <c r="AO10" s="18">
        <v>-15000000</v>
      </c>
      <c r="AQ10" s="103">
        <v>-15000000</v>
      </c>
      <c r="AR10" s="17">
        <v>0</v>
      </c>
      <c r="AS10" s="18">
        <v>-15000000</v>
      </c>
    </row>
    <row r="11" spans="1:45" ht="16.2" x14ac:dyDescent="0.45">
      <c r="B11" s="188"/>
      <c r="C11" s="188"/>
      <c r="D11" s="188"/>
      <c r="E11" s="188"/>
      <c r="F11" s="188"/>
      <c r="G11" s="188"/>
      <c r="H11" s="188"/>
      <c r="I11" s="188"/>
      <c r="J11" s="188"/>
      <c r="K11" s="188"/>
      <c r="M11" t="s">
        <v>129</v>
      </c>
      <c r="O11" s="104">
        <v>6000000</v>
      </c>
      <c r="P11" s="105">
        <v>0</v>
      </c>
      <c r="Q11" s="106">
        <v>6000000</v>
      </c>
      <c r="S11" s="104">
        <v>6000000</v>
      </c>
      <c r="T11" s="105"/>
      <c r="U11" s="106">
        <v>6000000</v>
      </c>
      <c r="W11" s="104">
        <v>6000000</v>
      </c>
      <c r="X11" s="105"/>
      <c r="Y11" s="106">
        <v>6000000</v>
      </c>
      <c r="AA11" s="104">
        <v>6000000</v>
      </c>
      <c r="AB11" s="105"/>
      <c r="AC11" s="106">
        <v>6000000</v>
      </c>
      <c r="AE11" s="104">
        <v>6000000</v>
      </c>
      <c r="AF11" s="105"/>
      <c r="AG11" s="106">
        <v>6000000</v>
      </c>
      <c r="AI11" s="104">
        <v>6000000</v>
      </c>
      <c r="AJ11" s="105"/>
      <c r="AK11" s="106">
        <v>6000000</v>
      </c>
      <c r="AM11" s="104">
        <v>6000000</v>
      </c>
      <c r="AN11" s="105"/>
      <c r="AO11" s="106">
        <v>6000000</v>
      </c>
      <c r="AQ11" s="104">
        <v>6000000</v>
      </c>
      <c r="AR11" s="105"/>
      <c r="AS11" s="106">
        <v>6000000</v>
      </c>
    </row>
    <row r="12" spans="1:45" x14ac:dyDescent="0.3">
      <c r="B12" s="188"/>
      <c r="C12" s="188"/>
      <c r="D12" s="188"/>
      <c r="E12" s="188"/>
      <c r="F12" s="188"/>
      <c r="G12" s="188"/>
      <c r="H12" s="188"/>
      <c r="I12" s="188"/>
      <c r="J12" s="188"/>
      <c r="K12" s="188"/>
      <c r="O12" s="13"/>
      <c r="Q12" s="14"/>
      <c r="S12" s="13"/>
      <c r="U12" s="14"/>
      <c r="W12" s="13"/>
      <c r="Y12" s="14"/>
      <c r="AA12" s="13"/>
      <c r="AC12" s="14"/>
      <c r="AE12" s="13"/>
      <c r="AG12" s="14"/>
      <c r="AI12" s="13"/>
      <c r="AK12" s="14"/>
      <c r="AM12" s="13"/>
      <c r="AO12" s="14"/>
      <c r="AQ12" s="13"/>
      <c r="AS12" s="14"/>
    </row>
    <row r="13" spans="1:45" x14ac:dyDescent="0.3">
      <c r="B13" s="188"/>
      <c r="C13" s="188"/>
      <c r="D13" s="188"/>
      <c r="E13" s="188"/>
      <c r="F13" s="188"/>
      <c r="G13" s="188"/>
      <c r="H13" s="188"/>
      <c r="I13" s="188"/>
      <c r="J13" s="188"/>
      <c r="K13" s="188"/>
      <c r="M13" t="s">
        <v>130</v>
      </c>
      <c r="O13" s="38">
        <v>-9000000</v>
      </c>
      <c r="P13" s="7">
        <f>P10</f>
        <v>8000000</v>
      </c>
      <c r="Q13" s="15">
        <v>-1000000</v>
      </c>
      <c r="S13" s="38">
        <v>-9000000</v>
      </c>
      <c r="T13" s="7">
        <f>U13-S13</f>
        <v>8000000</v>
      </c>
      <c r="U13" s="15">
        <f>U10+U11</f>
        <v>-1000000</v>
      </c>
      <c r="W13" s="38">
        <v>-9000000</v>
      </c>
      <c r="X13" s="7">
        <f>Y13-W13</f>
        <v>2000000</v>
      </c>
      <c r="Y13" s="15">
        <f>Y10+Y11</f>
        <v>-7000000</v>
      </c>
      <c r="AA13" s="38">
        <v>-9000000</v>
      </c>
      <c r="AB13" s="7">
        <f>AC13-AA13</f>
        <v>2000000</v>
      </c>
      <c r="AC13" s="15">
        <f>AC10+AC11</f>
        <v>-7000000</v>
      </c>
      <c r="AE13" s="38">
        <v>-9000000</v>
      </c>
      <c r="AF13" s="7">
        <f>AG13-AE13</f>
        <v>7000000</v>
      </c>
      <c r="AG13" s="15">
        <f>AG10+AG11</f>
        <v>-2000000</v>
      </c>
      <c r="AI13" s="38">
        <v>-9000000</v>
      </c>
      <c r="AJ13" s="7">
        <f>AK13-AI13</f>
        <v>7000000</v>
      </c>
      <c r="AK13" s="15">
        <f>AK10+AK11</f>
        <v>-2000000</v>
      </c>
      <c r="AM13" s="38">
        <v>-9000000</v>
      </c>
      <c r="AN13" s="7">
        <f>AO13-AM13</f>
        <v>0</v>
      </c>
      <c r="AO13" s="15">
        <f>AO10+AO11</f>
        <v>-9000000</v>
      </c>
      <c r="AQ13" s="38">
        <v>-9000000</v>
      </c>
      <c r="AR13" s="7">
        <f>AS13-AQ13</f>
        <v>0</v>
      </c>
      <c r="AS13" s="15">
        <f>AS10+AS11</f>
        <v>-9000000</v>
      </c>
    </row>
    <row r="14" spans="1:45" x14ac:dyDescent="0.3">
      <c r="B14" s="188"/>
      <c r="C14" s="188"/>
      <c r="D14" s="188"/>
      <c r="E14" s="188"/>
      <c r="F14" s="188"/>
      <c r="G14" s="188"/>
      <c r="H14" s="188"/>
      <c r="I14" s="188"/>
      <c r="J14" s="188"/>
      <c r="K14" s="188"/>
      <c r="O14" s="13"/>
      <c r="Q14" s="14"/>
      <c r="S14" s="13"/>
      <c r="U14" s="14"/>
      <c r="W14" s="13"/>
      <c r="Y14" s="14"/>
      <c r="AA14" s="13"/>
      <c r="AC14" s="14"/>
      <c r="AE14" s="13"/>
      <c r="AG14" s="14"/>
      <c r="AI14" s="13"/>
      <c r="AK14" s="14"/>
      <c r="AM14" s="13"/>
      <c r="AO14" s="14"/>
      <c r="AQ14" s="13"/>
      <c r="AS14" s="14"/>
    </row>
    <row r="15" spans="1:45" x14ac:dyDescent="0.3">
      <c r="B15" s="188"/>
      <c r="C15" s="188"/>
      <c r="D15" s="188"/>
      <c r="E15" s="188"/>
      <c r="F15" s="188"/>
      <c r="G15" s="188"/>
      <c r="H15" s="188"/>
      <c r="I15" s="188"/>
      <c r="J15" s="188"/>
      <c r="K15" s="188"/>
      <c r="M15" t="s">
        <v>131</v>
      </c>
      <c r="O15" s="13"/>
      <c r="Q15" s="14"/>
      <c r="S15" s="13"/>
      <c r="U15" s="14"/>
      <c r="W15" s="13"/>
      <c r="Y15" s="14"/>
      <c r="AA15" s="13"/>
      <c r="AC15" s="14"/>
      <c r="AE15" s="13"/>
      <c r="AG15" s="14"/>
      <c r="AI15" s="13"/>
      <c r="AK15" s="14"/>
      <c r="AM15" s="13"/>
      <c r="AO15" s="14"/>
      <c r="AQ15" s="13"/>
      <c r="AS15" s="14"/>
    </row>
    <row r="16" spans="1:45" x14ac:dyDescent="0.3">
      <c r="B16" s="188"/>
      <c r="C16" s="188"/>
      <c r="D16" s="188"/>
      <c r="E16" s="188"/>
      <c r="F16" s="188"/>
      <c r="G16" s="188"/>
      <c r="H16" s="188"/>
      <c r="I16" s="188"/>
      <c r="J16" s="188"/>
      <c r="K16" s="188"/>
      <c r="M16" t="s">
        <v>132</v>
      </c>
      <c r="O16" s="103">
        <v>200000</v>
      </c>
      <c r="P16" s="17">
        <v>-200000</v>
      </c>
      <c r="Q16" s="15">
        <v>0</v>
      </c>
      <c r="S16" s="107">
        <v>-400000</v>
      </c>
      <c r="T16" s="108" t="s">
        <v>133</v>
      </c>
      <c r="U16" s="109" t="s">
        <v>133</v>
      </c>
      <c r="W16" s="107">
        <v>500000</v>
      </c>
      <c r="X16" s="108" t="s">
        <v>133</v>
      </c>
      <c r="Y16" s="109" t="s">
        <v>133</v>
      </c>
      <c r="AA16" s="107">
        <v>-700000</v>
      </c>
      <c r="AB16" s="108" t="s">
        <v>133</v>
      </c>
      <c r="AC16" s="109" t="s">
        <v>133</v>
      </c>
      <c r="AE16" s="107">
        <v>0</v>
      </c>
      <c r="AF16" s="108" t="s">
        <v>133</v>
      </c>
      <c r="AG16" s="109" t="s">
        <v>133</v>
      </c>
      <c r="AI16" s="107">
        <v>0</v>
      </c>
      <c r="AJ16" s="108" t="s">
        <v>133</v>
      </c>
      <c r="AK16" s="109" t="s">
        <v>133</v>
      </c>
      <c r="AM16" s="107">
        <v>0</v>
      </c>
      <c r="AN16" s="108" t="s">
        <v>133</v>
      </c>
      <c r="AO16" s="109" t="s">
        <v>133</v>
      </c>
      <c r="AQ16" s="107">
        <v>200000</v>
      </c>
      <c r="AR16" s="108" t="s">
        <v>133</v>
      </c>
      <c r="AS16" s="109" t="s">
        <v>133</v>
      </c>
    </row>
    <row r="17" spans="2:45" x14ac:dyDescent="0.3">
      <c r="B17" s="188"/>
      <c r="C17" s="188"/>
      <c r="D17" s="188"/>
      <c r="E17" s="188"/>
      <c r="F17" s="188"/>
      <c r="G17" s="188"/>
      <c r="H17" s="188"/>
      <c r="I17" s="188"/>
      <c r="J17" s="188"/>
      <c r="K17" s="188"/>
      <c r="M17" t="s">
        <v>134</v>
      </c>
      <c r="O17" s="103">
        <v>300000</v>
      </c>
      <c r="P17" s="17">
        <v>-300000</v>
      </c>
      <c r="Q17" s="15">
        <v>0</v>
      </c>
      <c r="S17" s="103">
        <v>300000</v>
      </c>
      <c r="T17" s="110" t="s">
        <v>133</v>
      </c>
      <c r="U17" s="79" t="s">
        <v>133</v>
      </c>
      <c r="W17" s="103">
        <v>300000</v>
      </c>
      <c r="X17" s="110" t="s">
        <v>133</v>
      </c>
      <c r="Y17" s="79" t="s">
        <v>133</v>
      </c>
      <c r="AA17" s="103">
        <v>-300000</v>
      </c>
      <c r="AB17" s="110" t="s">
        <v>133</v>
      </c>
      <c r="AC17" s="79" t="s">
        <v>133</v>
      </c>
      <c r="AE17" s="103">
        <v>-400000</v>
      </c>
      <c r="AF17" s="110" t="s">
        <v>133</v>
      </c>
      <c r="AG17" s="79" t="s">
        <v>133</v>
      </c>
      <c r="AI17" s="103">
        <v>-400000</v>
      </c>
      <c r="AJ17" s="110" t="s">
        <v>133</v>
      </c>
      <c r="AK17" s="79" t="s">
        <v>133</v>
      </c>
      <c r="AM17" s="103">
        <v>-400000</v>
      </c>
      <c r="AN17" s="110" t="s">
        <v>133</v>
      </c>
      <c r="AO17" s="79" t="s">
        <v>133</v>
      </c>
      <c r="AQ17" s="103">
        <v>300000</v>
      </c>
      <c r="AR17" s="110" t="s">
        <v>133</v>
      </c>
      <c r="AS17" s="79" t="s">
        <v>133</v>
      </c>
    </row>
    <row r="18" spans="2:45" ht="16.2" x14ac:dyDescent="0.45">
      <c r="B18" s="188"/>
      <c r="C18" s="188"/>
      <c r="D18" s="188"/>
      <c r="E18" s="188"/>
      <c r="F18" s="188"/>
      <c r="G18" s="188"/>
      <c r="H18" s="188"/>
      <c r="I18" s="188"/>
      <c r="J18" s="188"/>
      <c r="K18" s="188"/>
      <c r="M18" t="s">
        <v>135</v>
      </c>
      <c r="O18" s="104">
        <v>4500000</v>
      </c>
      <c r="P18" s="111">
        <v>-4500000</v>
      </c>
      <c r="Q18" s="112">
        <v>0</v>
      </c>
      <c r="S18" s="104">
        <v>7000000</v>
      </c>
      <c r="T18" s="113" t="s">
        <v>133</v>
      </c>
      <c r="U18" s="114" t="s">
        <v>133</v>
      </c>
      <c r="W18" s="104">
        <v>4500000</v>
      </c>
      <c r="X18" s="113" t="s">
        <v>133</v>
      </c>
      <c r="Y18" s="114" t="s">
        <v>133</v>
      </c>
      <c r="AA18" s="104">
        <v>500000</v>
      </c>
      <c r="AB18" s="113" t="s">
        <v>133</v>
      </c>
      <c r="AC18" s="114" t="s">
        <v>133</v>
      </c>
      <c r="AE18" s="104">
        <v>4500000</v>
      </c>
      <c r="AF18" s="113" t="s">
        <v>133</v>
      </c>
      <c r="AG18" s="114" t="s">
        <v>133</v>
      </c>
      <c r="AI18" s="104">
        <v>-5000000</v>
      </c>
      <c r="AJ18" s="113" t="s">
        <v>133</v>
      </c>
      <c r="AK18" s="114" t="s">
        <v>133</v>
      </c>
      <c r="AM18" s="104">
        <v>-5000000</v>
      </c>
      <c r="AN18" s="113" t="s">
        <v>133</v>
      </c>
      <c r="AO18" s="114" t="s">
        <v>133</v>
      </c>
      <c r="AQ18" s="104">
        <v>3000000</v>
      </c>
      <c r="AR18" s="113" t="s">
        <v>133</v>
      </c>
      <c r="AS18" s="114" t="s">
        <v>133</v>
      </c>
    </row>
    <row r="19" spans="2:45" x14ac:dyDescent="0.3">
      <c r="B19" s="188"/>
      <c r="C19" s="188"/>
      <c r="D19" s="188"/>
      <c r="E19" s="188"/>
      <c r="F19" s="188"/>
      <c r="G19" s="188"/>
      <c r="H19" s="188"/>
      <c r="I19" s="188"/>
      <c r="J19" s="188"/>
      <c r="K19" s="188"/>
      <c r="M19" t="s">
        <v>136</v>
      </c>
      <c r="O19" s="38">
        <f>SUM(O16:O18)</f>
        <v>5000000</v>
      </c>
      <c r="P19" s="7"/>
      <c r="Q19" s="15">
        <v>0</v>
      </c>
      <c r="S19" s="38">
        <f>SUM(S16:S18)</f>
        <v>6900000</v>
      </c>
      <c r="T19" s="115"/>
      <c r="U19" s="116" t="s">
        <v>133</v>
      </c>
      <c r="W19" s="38">
        <f>SUM(W16:W18)</f>
        <v>5300000</v>
      </c>
      <c r="X19" s="115"/>
      <c r="Y19" s="116" t="s">
        <v>133</v>
      </c>
      <c r="AA19" s="38">
        <f>SUM(AA16:AA18)</f>
        <v>-500000</v>
      </c>
      <c r="AB19" s="115"/>
      <c r="AC19" s="116" t="s">
        <v>133</v>
      </c>
      <c r="AE19" s="38">
        <f>SUM(AE16:AE18)</f>
        <v>4100000</v>
      </c>
      <c r="AF19" s="115"/>
      <c r="AG19" s="116" t="s">
        <v>133</v>
      </c>
      <c r="AI19" s="38">
        <f>SUM(AI16:AI18)</f>
        <v>-5400000</v>
      </c>
      <c r="AJ19" s="115"/>
      <c r="AK19" s="116" t="s">
        <v>133</v>
      </c>
      <c r="AM19" s="38">
        <f>SUM(AM16:AM18)</f>
        <v>-5400000</v>
      </c>
      <c r="AN19" s="115"/>
      <c r="AO19" s="116" t="s">
        <v>133</v>
      </c>
      <c r="AQ19" s="38">
        <f>SUM(AQ16:AQ18)</f>
        <v>3500000</v>
      </c>
      <c r="AR19" s="115"/>
      <c r="AS19" s="116" t="s">
        <v>133</v>
      </c>
    </row>
    <row r="20" spans="2:45" x14ac:dyDescent="0.3">
      <c r="B20" s="188"/>
      <c r="C20" s="188"/>
      <c r="D20" s="188"/>
      <c r="E20" s="188"/>
      <c r="F20" s="188"/>
      <c r="G20" s="188"/>
      <c r="H20" s="188"/>
      <c r="I20" s="188"/>
      <c r="J20" s="188"/>
      <c r="K20" s="188"/>
      <c r="O20" s="13"/>
      <c r="Q20" s="14"/>
      <c r="S20" s="13"/>
      <c r="T20" s="2"/>
      <c r="U20" s="35"/>
      <c r="W20" s="13"/>
      <c r="X20" s="2"/>
      <c r="Y20" s="35"/>
      <c r="AA20" s="13"/>
      <c r="AB20" s="2"/>
      <c r="AC20" s="35"/>
      <c r="AE20" s="13"/>
      <c r="AF20" s="2"/>
      <c r="AG20" s="35"/>
      <c r="AI20" s="13"/>
      <c r="AJ20" s="2"/>
      <c r="AK20" s="35"/>
      <c r="AM20" s="13"/>
      <c r="AN20" s="2"/>
      <c r="AO20" s="35"/>
      <c r="AQ20" s="13"/>
      <c r="AR20" s="2"/>
      <c r="AS20" s="35"/>
    </row>
    <row r="21" spans="2:45" x14ac:dyDescent="0.3">
      <c r="B21" s="188"/>
      <c r="C21" s="188"/>
      <c r="D21" s="188"/>
      <c r="E21" s="188"/>
      <c r="F21" s="188"/>
      <c r="G21" s="188"/>
      <c r="H21" s="188"/>
      <c r="I21" s="188"/>
      <c r="J21" s="188"/>
      <c r="K21" s="188"/>
      <c r="M21" t="s">
        <v>137</v>
      </c>
      <c r="O21" s="38">
        <f>O13+O19</f>
        <v>-4000000</v>
      </c>
      <c r="P21" s="7">
        <v>3000000</v>
      </c>
      <c r="Q21" s="15">
        <f>O21+P21</f>
        <v>-1000000</v>
      </c>
      <c r="S21" s="38">
        <f>S13+S19</f>
        <v>-2100000</v>
      </c>
      <c r="T21" s="115" t="s">
        <v>133</v>
      </c>
      <c r="U21" s="116" t="s">
        <v>133</v>
      </c>
      <c r="W21" s="38">
        <f>W13+W19</f>
        <v>-3700000</v>
      </c>
      <c r="X21" s="115" t="s">
        <v>133</v>
      </c>
      <c r="Y21" s="116" t="s">
        <v>133</v>
      </c>
      <c r="AA21" s="38">
        <f>AA13+AA19</f>
        <v>-9500000</v>
      </c>
      <c r="AB21" s="115" t="s">
        <v>133</v>
      </c>
      <c r="AC21" s="116" t="s">
        <v>133</v>
      </c>
      <c r="AE21" s="38">
        <f>AE13+AE19</f>
        <v>-4900000</v>
      </c>
      <c r="AF21" s="115" t="s">
        <v>133</v>
      </c>
      <c r="AG21" s="116" t="s">
        <v>133</v>
      </c>
      <c r="AI21" s="38">
        <f>AI13+AI19</f>
        <v>-14400000</v>
      </c>
      <c r="AJ21" s="115" t="s">
        <v>133</v>
      </c>
      <c r="AK21" s="116" t="s">
        <v>133</v>
      </c>
      <c r="AM21" s="38">
        <f>AM13+AM19</f>
        <v>-14400000</v>
      </c>
      <c r="AN21" s="115" t="s">
        <v>133</v>
      </c>
      <c r="AO21" s="116" t="s">
        <v>133</v>
      </c>
      <c r="AQ21" s="38">
        <f>AQ13+AQ19</f>
        <v>-5500000</v>
      </c>
      <c r="AR21" s="115" t="s">
        <v>133</v>
      </c>
      <c r="AS21" s="116" t="s">
        <v>133</v>
      </c>
    </row>
    <row r="22" spans="2:45" x14ac:dyDescent="0.3">
      <c r="B22" s="188"/>
      <c r="C22" s="188"/>
      <c r="D22" s="188"/>
      <c r="E22" s="188"/>
      <c r="F22" s="188"/>
      <c r="G22" s="188"/>
      <c r="H22" s="188"/>
      <c r="I22" s="188"/>
      <c r="J22" s="188"/>
      <c r="K22" s="188"/>
      <c r="O22" s="13"/>
      <c r="Q22" s="14"/>
      <c r="S22" s="13"/>
      <c r="T22" s="2"/>
      <c r="U22" s="35"/>
      <c r="W22" s="13"/>
      <c r="X22" s="2"/>
      <c r="Y22" s="35"/>
      <c r="AA22" s="13"/>
      <c r="AB22" s="2"/>
      <c r="AC22" s="35"/>
      <c r="AE22" s="13"/>
      <c r="AF22" s="2"/>
      <c r="AG22" s="35"/>
      <c r="AI22" s="13"/>
      <c r="AJ22" s="2"/>
      <c r="AK22" s="35"/>
      <c r="AM22" s="13"/>
      <c r="AN22" s="2"/>
      <c r="AO22" s="35"/>
      <c r="AQ22" s="13"/>
      <c r="AR22" s="2"/>
      <c r="AS22" s="35"/>
    </row>
    <row r="23" spans="2:45" x14ac:dyDescent="0.3">
      <c r="B23" s="188"/>
      <c r="C23" s="188"/>
      <c r="D23" s="188"/>
      <c r="E23" s="188"/>
      <c r="F23" s="188"/>
      <c r="G23" s="188"/>
      <c r="H23" s="188"/>
      <c r="I23" s="188"/>
      <c r="J23" s="188"/>
      <c r="K23" s="188"/>
      <c r="M23" t="s">
        <v>138</v>
      </c>
      <c r="O23" s="22"/>
      <c r="P23" s="24">
        <v>3000000</v>
      </c>
      <c r="Q23" s="29"/>
      <c r="S23" s="22"/>
      <c r="T23" s="117" t="str">
        <f>T21</f>
        <v>TBD</v>
      </c>
      <c r="U23" s="118"/>
      <c r="W23" s="22"/>
      <c r="X23" s="117" t="str">
        <f>X21</f>
        <v>TBD</v>
      </c>
      <c r="Y23" s="118"/>
      <c r="AA23" s="22"/>
      <c r="AB23" s="117" t="str">
        <f>AB21</f>
        <v>TBD</v>
      </c>
      <c r="AC23" s="118"/>
      <c r="AE23" s="22"/>
      <c r="AF23" s="117" t="str">
        <f>AF21</f>
        <v>TBD</v>
      </c>
      <c r="AG23" s="118"/>
      <c r="AI23" s="22"/>
      <c r="AJ23" s="117" t="str">
        <f>AJ21</f>
        <v>TBD</v>
      </c>
      <c r="AK23" s="118"/>
      <c r="AM23" s="22"/>
      <c r="AN23" s="117" t="str">
        <f>AN21</f>
        <v>TBD</v>
      </c>
      <c r="AO23" s="118"/>
      <c r="AQ23" s="22"/>
      <c r="AR23" s="117" t="str">
        <f>AR21</f>
        <v>TBD</v>
      </c>
      <c r="AS23" s="118"/>
    </row>
  </sheetData>
  <mergeCells count="9">
    <mergeCell ref="AM6:AO6"/>
    <mergeCell ref="AQ6:AS6"/>
    <mergeCell ref="B7:K23"/>
    <mergeCell ref="O6:Q6"/>
    <mergeCell ref="S6:U6"/>
    <mergeCell ref="W6:Y6"/>
    <mergeCell ref="AA6:AC6"/>
    <mergeCell ref="AE6:AG6"/>
    <mergeCell ref="AI6:AK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2805-A4D5-49F0-8362-2962653C2C92}">
  <sheetPr>
    <tabColor theme="9" tint="0.59999389629810485"/>
  </sheetPr>
  <dimension ref="A1:AI47"/>
  <sheetViews>
    <sheetView zoomScale="115" zoomScaleNormal="115" workbookViewId="0"/>
  </sheetViews>
  <sheetFormatPr defaultRowHeight="14.4" x14ac:dyDescent="0.3"/>
  <cols>
    <col min="1" max="2" width="3.33203125" customWidth="1"/>
    <col min="3" max="3" width="58" bestFit="1" customWidth="1"/>
    <col min="5" max="5" width="18.5546875" bestFit="1" customWidth="1"/>
    <col min="6" max="6" width="20.33203125" bestFit="1" customWidth="1"/>
    <col min="7" max="7" width="16.88671875" bestFit="1" customWidth="1"/>
    <col min="9" max="9" width="20.5546875" customWidth="1"/>
    <col min="10" max="10" width="23.88671875" customWidth="1"/>
    <col min="11" max="11" width="24.33203125" customWidth="1"/>
    <col min="13" max="13" width="21.33203125" customWidth="1"/>
    <col min="14" max="14" width="23.109375" customWidth="1"/>
    <col min="15" max="15" width="22.33203125" customWidth="1"/>
    <col min="17" max="17" width="20.5546875" customWidth="1"/>
    <col min="18" max="18" width="25.88671875" customWidth="1"/>
    <col min="19" max="19" width="23.5546875" customWidth="1"/>
    <col min="21" max="21" width="24.33203125" customWidth="1"/>
    <col min="22" max="22" width="24.6640625" customWidth="1"/>
    <col min="23" max="23" width="16.88671875" bestFit="1" customWidth="1"/>
    <col min="25" max="25" width="25.5546875" customWidth="1"/>
    <col min="26" max="26" width="23.44140625" customWidth="1"/>
    <col min="27" max="27" width="19.109375" customWidth="1"/>
    <col min="29" max="29" width="20.6640625" customWidth="1"/>
    <col min="30" max="30" width="23.44140625" customWidth="1"/>
    <col min="31" max="31" width="16.88671875" bestFit="1" customWidth="1"/>
    <col min="33" max="33" width="21.5546875" customWidth="1"/>
    <col min="34" max="34" width="24.33203125" customWidth="1"/>
    <col min="35" max="35" width="20.44140625" customWidth="1"/>
  </cols>
  <sheetData>
    <row r="1" spans="1:35" x14ac:dyDescent="0.3">
      <c r="A1" s="186" t="s">
        <v>222</v>
      </c>
    </row>
    <row r="3" spans="1:35" x14ac:dyDescent="0.3">
      <c r="A3" s="1" t="s">
        <v>1</v>
      </c>
    </row>
    <row r="4" spans="1:35" x14ac:dyDescent="0.3">
      <c r="A4" t="s">
        <v>146</v>
      </c>
    </row>
    <row r="7" spans="1:35" x14ac:dyDescent="0.3">
      <c r="E7" s="200" t="s">
        <v>118</v>
      </c>
      <c r="F7" s="204"/>
      <c r="G7" s="201"/>
      <c r="I7" s="200" t="s">
        <v>12</v>
      </c>
      <c r="J7" s="202"/>
      <c r="K7" s="203"/>
      <c r="M7" s="200" t="s">
        <v>13</v>
      </c>
      <c r="N7" s="202"/>
      <c r="O7" s="203"/>
      <c r="Q7" s="200" t="s">
        <v>14</v>
      </c>
      <c r="R7" s="202"/>
      <c r="S7" s="203"/>
      <c r="U7" s="200" t="s">
        <v>15</v>
      </c>
      <c r="V7" s="202"/>
      <c r="W7" s="203"/>
      <c r="Y7" s="200" t="s">
        <v>119</v>
      </c>
      <c r="Z7" s="202"/>
      <c r="AA7" s="203"/>
      <c r="AC7" s="200" t="s">
        <v>120</v>
      </c>
      <c r="AD7" s="202"/>
      <c r="AE7" s="203"/>
      <c r="AG7" s="200" t="s">
        <v>121</v>
      </c>
      <c r="AH7" s="202"/>
      <c r="AI7" s="203"/>
    </row>
    <row r="8" spans="1:35" x14ac:dyDescent="0.3">
      <c r="C8" s="52" t="s">
        <v>122</v>
      </c>
      <c r="D8" s="52"/>
      <c r="E8" s="36" t="s">
        <v>123</v>
      </c>
      <c r="F8" s="9" t="s">
        <v>124</v>
      </c>
      <c r="G8" s="44" t="s">
        <v>125</v>
      </c>
      <c r="I8" s="36" t="s">
        <v>123</v>
      </c>
      <c r="J8" s="9" t="s">
        <v>124</v>
      </c>
      <c r="K8" s="44" t="s">
        <v>125</v>
      </c>
      <c r="M8" s="36" t="s">
        <v>123</v>
      </c>
      <c r="N8" s="9" t="s">
        <v>124</v>
      </c>
      <c r="O8" s="44" t="s">
        <v>125</v>
      </c>
      <c r="Q8" s="36" t="s">
        <v>123</v>
      </c>
      <c r="R8" s="9" t="s">
        <v>124</v>
      </c>
      <c r="S8" s="44" t="s">
        <v>125</v>
      </c>
      <c r="U8" s="36" t="s">
        <v>123</v>
      </c>
      <c r="V8" s="9" t="s">
        <v>124</v>
      </c>
      <c r="W8" s="44" t="s">
        <v>125</v>
      </c>
      <c r="Y8" s="36" t="s">
        <v>123</v>
      </c>
      <c r="Z8" s="9" t="s">
        <v>124</v>
      </c>
      <c r="AA8" s="44" t="s">
        <v>125</v>
      </c>
      <c r="AC8" s="36" t="s">
        <v>123</v>
      </c>
      <c r="AD8" s="9" t="s">
        <v>124</v>
      </c>
      <c r="AE8" s="44" t="s">
        <v>125</v>
      </c>
      <c r="AG8" s="36" t="s">
        <v>123</v>
      </c>
      <c r="AH8" s="9" t="s">
        <v>124</v>
      </c>
      <c r="AI8" s="44" t="s">
        <v>125</v>
      </c>
    </row>
    <row r="9" spans="1:35" x14ac:dyDescent="0.3">
      <c r="C9" t="s">
        <v>126</v>
      </c>
      <c r="E9" s="103">
        <v>-6500000</v>
      </c>
      <c r="F9" s="17">
        <v>-500000</v>
      </c>
      <c r="G9" s="18">
        <v>-7000000</v>
      </c>
      <c r="I9" s="103">
        <v>-6500000</v>
      </c>
      <c r="J9" s="17">
        <v>0</v>
      </c>
      <c r="K9" s="18">
        <v>-6500000</v>
      </c>
      <c r="M9" s="103">
        <v>-12500000</v>
      </c>
      <c r="N9" s="17">
        <v>-500000</v>
      </c>
      <c r="O9" s="18">
        <v>-13000000</v>
      </c>
      <c r="Q9" s="103">
        <v>-12500000</v>
      </c>
      <c r="R9" s="17">
        <v>-500000</v>
      </c>
      <c r="S9" s="18">
        <v>-13000000</v>
      </c>
      <c r="U9" s="103">
        <v>-6500000</v>
      </c>
      <c r="V9" s="17">
        <v>-1500000</v>
      </c>
      <c r="W9" s="18">
        <v>-8000000</v>
      </c>
      <c r="Y9" s="103">
        <v>-6500000</v>
      </c>
      <c r="Z9" s="17">
        <v>-1500000</v>
      </c>
      <c r="AA9" s="18">
        <v>-8000000</v>
      </c>
      <c r="AC9" s="103">
        <v>-13500000</v>
      </c>
      <c r="AD9" s="17">
        <v>-1500000</v>
      </c>
      <c r="AE9" s="18">
        <v>-15000000</v>
      </c>
      <c r="AG9" s="103">
        <v>-13500000</v>
      </c>
      <c r="AH9" s="17">
        <v>-1500000</v>
      </c>
      <c r="AI9" s="18">
        <v>-15000000</v>
      </c>
    </row>
    <row r="10" spans="1:35" x14ac:dyDescent="0.3">
      <c r="C10" t="s">
        <v>127</v>
      </c>
      <c r="E10" s="103">
        <v>-7000000</v>
      </c>
      <c r="F10" s="17">
        <v>0</v>
      </c>
      <c r="G10" s="18">
        <v>-7000000</v>
      </c>
      <c r="I10" s="103">
        <v>-7000000</v>
      </c>
      <c r="J10" s="17">
        <v>0</v>
      </c>
      <c r="K10" s="18">
        <v>-7000000</v>
      </c>
      <c r="M10" s="103">
        <v>-13000000</v>
      </c>
      <c r="N10" s="17">
        <v>0</v>
      </c>
      <c r="O10" s="18">
        <f>-13000000</f>
        <v>-13000000</v>
      </c>
      <c r="Q10" s="103">
        <v>-13000000</v>
      </c>
      <c r="R10" s="17">
        <v>0</v>
      </c>
      <c r="S10" s="18">
        <f>-13000000</f>
        <v>-13000000</v>
      </c>
      <c r="U10" s="103">
        <v>-8000000</v>
      </c>
      <c r="V10" s="17">
        <v>0</v>
      </c>
      <c r="W10" s="18">
        <v>-8000000</v>
      </c>
      <c r="Y10" s="103">
        <v>-8000000</v>
      </c>
      <c r="Z10" s="17">
        <v>0</v>
      </c>
      <c r="AA10" s="18">
        <v>-8000000</v>
      </c>
      <c r="AC10" s="103">
        <v>-15000000</v>
      </c>
      <c r="AD10" s="17">
        <v>0</v>
      </c>
      <c r="AE10" s="18">
        <v>-15000000</v>
      </c>
      <c r="AG10" s="103">
        <v>-15000000</v>
      </c>
      <c r="AH10" s="17">
        <v>0</v>
      </c>
      <c r="AI10" s="18">
        <v>-15000000</v>
      </c>
    </row>
    <row r="11" spans="1:35" x14ac:dyDescent="0.3">
      <c r="C11" t="s">
        <v>128</v>
      </c>
      <c r="E11" s="103">
        <v>-15000000</v>
      </c>
      <c r="F11" s="17">
        <v>8000000</v>
      </c>
      <c r="G11" s="18">
        <v>-7000000</v>
      </c>
      <c r="I11" s="103">
        <v>-15000000</v>
      </c>
      <c r="J11" s="17">
        <v>8000000</v>
      </c>
      <c r="K11" s="18">
        <v>-7000000</v>
      </c>
      <c r="M11" s="103">
        <v>-15000000</v>
      </c>
      <c r="N11" s="17">
        <v>2000000</v>
      </c>
      <c r="O11" s="18">
        <v>-13000000</v>
      </c>
      <c r="Q11" s="103">
        <v>-15000000</v>
      </c>
      <c r="R11" s="17">
        <v>2000000</v>
      </c>
      <c r="S11" s="18">
        <v>-13000000</v>
      </c>
      <c r="U11" s="103">
        <v>-15000000</v>
      </c>
      <c r="V11" s="17">
        <v>7000000</v>
      </c>
      <c r="W11" s="18">
        <v>-8000000</v>
      </c>
      <c r="Y11" s="103">
        <v>-15000000</v>
      </c>
      <c r="Z11" s="17">
        <v>7000000</v>
      </c>
      <c r="AA11" s="18">
        <v>-8000000</v>
      </c>
      <c r="AC11" s="103">
        <v>-15000000</v>
      </c>
      <c r="AD11" s="17">
        <v>0</v>
      </c>
      <c r="AE11" s="18">
        <v>-15000000</v>
      </c>
      <c r="AG11" s="103">
        <v>-15000000</v>
      </c>
      <c r="AH11" s="17">
        <v>0</v>
      </c>
      <c r="AI11" s="18">
        <v>-15000000</v>
      </c>
    </row>
    <row r="12" spans="1:35" ht="16.2" x14ac:dyDescent="0.45">
      <c r="C12" t="s">
        <v>129</v>
      </c>
      <c r="E12" s="104">
        <v>6000000</v>
      </c>
      <c r="F12" s="105">
        <v>0</v>
      </c>
      <c r="G12" s="106">
        <v>6000000</v>
      </c>
      <c r="I12" s="104">
        <v>6000000</v>
      </c>
      <c r="J12" s="105"/>
      <c r="K12" s="106">
        <v>6000000</v>
      </c>
      <c r="M12" s="104">
        <v>6000000</v>
      </c>
      <c r="N12" s="105"/>
      <c r="O12" s="106">
        <v>6000000</v>
      </c>
      <c r="Q12" s="104">
        <v>6000000</v>
      </c>
      <c r="R12" s="105"/>
      <c r="S12" s="106">
        <v>6000000</v>
      </c>
      <c r="U12" s="104">
        <v>6000000</v>
      </c>
      <c r="V12" s="105"/>
      <c r="W12" s="106">
        <v>6000000</v>
      </c>
      <c r="Y12" s="104">
        <v>6000000</v>
      </c>
      <c r="Z12" s="105"/>
      <c r="AA12" s="106">
        <v>6000000</v>
      </c>
      <c r="AC12" s="104">
        <v>6000000</v>
      </c>
      <c r="AD12" s="105"/>
      <c r="AE12" s="106">
        <v>6000000</v>
      </c>
      <c r="AG12" s="104">
        <v>6000000</v>
      </c>
      <c r="AH12" s="105"/>
      <c r="AI12" s="106">
        <v>6000000</v>
      </c>
    </row>
    <row r="13" spans="1:35" x14ac:dyDescent="0.3">
      <c r="E13" s="13"/>
      <c r="G13" s="14"/>
      <c r="I13" s="13"/>
      <c r="K13" s="14"/>
      <c r="M13" s="13"/>
      <c r="O13" s="14"/>
      <c r="Q13" s="13"/>
      <c r="S13" s="14"/>
      <c r="U13" s="13"/>
      <c r="W13" s="14"/>
      <c r="Y13" s="13"/>
      <c r="AA13" s="14"/>
      <c r="AC13" s="13"/>
      <c r="AE13" s="14"/>
      <c r="AG13" s="13"/>
      <c r="AI13" s="14"/>
    </row>
    <row r="14" spans="1:35" x14ac:dyDescent="0.3">
      <c r="C14" t="s">
        <v>130</v>
      </c>
      <c r="E14" s="38">
        <v>-9000000</v>
      </c>
      <c r="F14" s="7">
        <f>F11</f>
        <v>8000000</v>
      </c>
      <c r="G14" s="15">
        <v>-1000000</v>
      </c>
      <c r="I14" s="38">
        <v>-9000000</v>
      </c>
      <c r="J14" s="7">
        <f>K14-I14</f>
        <v>8000000</v>
      </c>
      <c r="K14" s="15">
        <f>K11+K12</f>
        <v>-1000000</v>
      </c>
      <c r="M14" s="38">
        <v>-9000000</v>
      </c>
      <c r="N14" s="7">
        <f>O14-M14</f>
        <v>2000000</v>
      </c>
      <c r="O14" s="15">
        <f>O11+O12</f>
        <v>-7000000</v>
      </c>
      <c r="Q14" s="38">
        <v>-9000000</v>
      </c>
      <c r="R14" s="7">
        <f>S14-Q14</f>
        <v>2000000</v>
      </c>
      <c r="S14" s="15">
        <f>S11+S12</f>
        <v>-7000000</v>
      </c>
      <c r="U14" s="38">
        <v>-9000000</v>
      </c>
      <c r="V14" s="7">
        <f>W14-U14</f>
        <v>7000000</v>
      </c>
      <c r="W14" s="15">
        <f>W11+W12</f>
        <v>-2000000</v>
      </c>
      <c r="Y14" s="38">
        <v>-9000000</v>
      </c>
      <c r="Z14" s="7">
        <f>AA14-Y14</f>
        <v>7000000</v>
      </c>
      <c r="AA14" s="15">
        <f>AA11+AA12</f>
        <v>-2000000</v>
      </c>
      <c r="AC14" s="38">
        <v>-9000000</v>
      </c>
      <c r="AD14" s="7">
        <f>AE14-AC14</f>
        <v>0</v>
      </c>
      <c r="AE14" s="15">
        <f>AE11+AE12</f>
        <v>-9000000</v>
      </c>
      <c r="AG14" s="38">
        <v>-9000000</v>
      </c>
      <c r="AH14" s="7">
        <f>AI14-AG14</f>
        <v>0</v>
      </c>
      <c r="AI14" s="15">
        <f>AI11+AI12</f>
        <v>-9000000</v>
      </c>
    </row>
    <row r="15" spans="1:35" x14ac:dyDescent="0.3">
      <c r="E15" s="13"/>
      <c r="G15" s="14"/>
      <c r="I15" s="13"/>
      <c r="K15" s="14"/>
      <c r="M15" s="13"/>
      <c r="O15" s="14"/>
      <c r="Q15" s="13"/>
      <c r="S15" s="14"/>
      <c r="U15" s="13"/>
      <c r="W15" s="14"/>
      <c r="Y15" s="13"/>
      <c r="AA15" s="14"/>
      <c r="AC15" s="13"/>
      <c r="AE15" s="14"/>
      <c r="AG15" s="13"/>
      <c r="AI15" s="14"/>
    </row>
    <row r="16" spans="1:35" x14ac:dyDescent="0.3">
      <c r="C16" t="s">
        <v>131</v>
      </c>
      <c r="E16" s="13"/>
      <c r="G16" s="14"/>
      <c r="I16" s="13"/>
      <c r="K16" s="14"/>
      <c r="M16" s="13"/>
      <c r="O16" s="14"/>
      <c r="Q16" s="13"/>
      <c r="S16" s="14"/>
      <c r="U16" s="13"/>
      <c r="W16" s="14"/>
      <c r="Y16" s="13"/>
      <c r="AA16" s="14"/>
      <c r="AC16" s="13"/>
      <c r="AE16" s="14"/>
      <c r="AG16" s="13"/>
      <c r="AI16" s="14"/>
    </row>
    <row r="17" spans="3:35" x14ac:dyDescent="0.3">
      <c r="C17" t="s">
        <v>132</v>
      </c>
      <c r="E17" s="103">
        <v>200000</v>
      </c>
      <c r="F17" s="17">
        <v>-200000</v>
      </c>
      <c r="G17" s="15">
        <v>0</v>
      </c>
      <c r="I17" s="107">
        <v>-400000</v>
      </c>
      <c r="J17" s="108">
        <v>0</v>
      </c>
      <c r="K17" s="109">
        <f>I17+J17</f>
        <v>-400000</v>
      </c>
      <c r="M17" s="107">
        <v>500000</v>
      </c>
      <c r="N17" s="108">
        <v>-500000</v>
      </c>
      <c r="O17" s="109">
        <f>M17+N17</f>
        <v>0</v>
      </c>
      <c r="Q17" s="107">
        <v>-700000</v>
      </c>
      <c r="R17" s="108">
        <v>0</v>
      </c>
      <c r="S17" s="109">
        <f>Q17+R17</f>
        <v>-700000</v>
      </c>
      <c r="U17" s="107">
        <v>0</v>
      </c>
      <c r="V17" s="108">
        <v>0</v>
      </c>
      <c r="W17" s="109">
        <f>U17+V17</f>
        <v>0</v>
      </c>
      <c r="Y17" s="107">
        <v>0</v>
      </c>
      <c r="Z17" s="108">
        <v>0</v>
      </c>
      <c r="AA17" s="109">
        <f>Y17+Z17</f>
        <v>0</v>
      </c>
      <c r="AC17" s="107">
        <v>0</v>
      </c>
      <c r="AD17" s="108">
        <v>0</v>
      </c>
      <c r="AE17" s="109">
        <f>AC17+AD17</f>
        <v>0</v>
      </c>
      <c r="AG17" s="107">
        <v>200000</v>
      </c>
      <c r="AH17" s="108">
        <v>-200000</v>
      </c>
      <c r="AI17" s="109">
        <f>AG17+AH17</f>
        <v>0</v>
      </c>
    </row>
    <row r="18" spans="3:35" x14ac:dyDescent="0.3">
      <c r="C18" t="s">
        <v>134</v>
      </c>
      <c r="E18" s="103">
        <v>300000</v>
      </c>
      <c r="F18" s="17">
        <v>-300000</v>
      </c>
      <c r="G18" s="15">
        <v>0</v>
      </c>
      <c r="I18" s="103">
        <v>300000</v>
      </c>
      <c r="J18" s="110">
        <v>-300000</v>
      </c>
      <c r="K18" s="79">
        <f>I18+J18</f>
        <v>0</v>
      </c>
      <c r="M18" s="103">
        <v>300000</v>
      </c>
      <c r="N18" s="110">
        <v>-300000</v>
      </c>
      <c r="O18" s="79">
        <f>M18+N18</f>
        <v>0</v>
      </c>
      <c r="Q18" s="103">
        <v>-300000</v>
      </c>
      <c r="R18" s="110">
        <v>300000</v>
      </c>
      <c r="S18" s="79">
        <f>Q18+R18</f>
        <v>0</v>
      </c>
      <c r="U18" s="103">
        <v>-400000</v>
      </c>
      <c r="V18" s="110">
        <v>400000</v>
      </c>
      <c r="W18" s="79">
        <f>U18+V18</f>
        <v>0</v>
      </c>
      <c r="Y18" s="103">
        <v>-400000</v>
      </c>
      <c r="Z18" s="110">
        <v>400000</v>
      </c>
      <c r="AA18" s="79">
        <f>Y18+Z18</f>
        <v>0</v>
      </c>
      <c r="AC18" s="103">
        <v>-400000</v>
      </c>
      <c r="AD18" s="110">
        <v>400000</v>
      </c>
      <c r="AE18" s="79">
        <f>AC18+AD18</f>
        <v>0</v>
      </c>
      <c r="AG18" s="103">
        <v>300000</v>
      </c>
      <c r="AH18" s="110">
        <v>-300000</v>
      </c>
      <c r="AI18" s="79">
        <f>AG18+AH18</f>
        <v>0</v>
      </c>
    </row>
    <row r="19" spans="3:35" ht="16.2" x14ac:dyDescent="0.45">
      <c r="C19" t="s">
        <v>135</v>
      </c>
      <c r="E19" s="104">
        <v>4500000</v>
      </c>
      <c r="F19" s="111">
        <v>-4500000</v>
      </c>
      <c r="G19" s="112">
        <v>0</v>
      </c>
      <c r="I19" s="104">
        <v>7000000</v>
      </c>
      <c r="J19" s="113">
        <v>-7000000</v>
      </c>
      <c r="K19" s="114">
        <f>I19+J19</f>
        <v>0</v>
      </c>
      <c r="M19" s="104">
        <v>4500000</v>
      </c>
      <c r="N19" s="113">
        <v>-2000000</v>
      </c>
      <c r="O19" s="114">
        <f>M19+N19</f>
        <v>2500000</v>
      </c>
      <c r="Q19" s="104">
        <v>500000</v>
      </c>
      <c r="R19" s="113">
        <v>0</v>
      </c>
      <c r="S19" s="114">
        <f>Q19+R19</f>
        <v>500000</v>
      </c>
      <c r="U19" s="104">
        <v>4500000</v>
      </c>
      <c r="V19" s="113">
        <v>-4500000</v>
      </c>
      <c r="W19" s="114">
        <f>U19+V19</f>
        <v>0</v>
      </c>
      <c r="Y19" s="104">
        <v>-5000000</v>
      </c>
      <c r="Z19" s="113">
        <v>0</v>
      </c>
      <c r="AA19" s="114">
        <f>Y19+Z19</f>
        <v>-5000000</v>
      </c>
      <c r="AC19" s="104">
        <v>-5000000</v>
      </c>
      <c r="AD19" s="113">
        <v>0</v>
      </c>
      <c r="AE19" s="114">
        <f>AC19+AD19</f>
        <v>-5000000</v>
      </c>
      <c r="AG19" s="104">
        <v>3000000</v>
      </c>
      <c r="AH19" s="113">
        <v>0</v>
      </c>
      <c r="AI19" s="114">
        <f>AG19+AH19</f>
        <v>3000000</v>
      </c>
    </row>
    <row r="20" spans="3:35" x14ac:dyDescent="0.3">
      <c r="C20" t="s">
        <v>136</v>
      </c>
      <c r="E20" s="38">
        <f>SUM(E17:E19)</f>
        <v>5000000</v>
      </c>
      <c r="F20" s="7"/>
      <c r="G20" s="15">
        <v>0</v>
      </c>
      <c r="I20" s="38">
        <f>SUM(I17:I19)</f>
        <v>6900000</v>
      </c>
      <c r="J20" s="115"/>
      <c r="K20" s="116">
        <f>SUM(K17:K19)</f>
        <v>-400000</v>
      </c>
      <c r="M20" s="38">
        <f>SUM(M17:M19)</f>
        <v>5300000</v>
      </c>
      <c r="N20" s="115"/>
      <c r="O20" s="116">
        <f>SUM(O17:O19)</f>
        <v>2500000</v>
      </c>
      <c r="Q20" s="38">
        <f>SUM(Q17:Q19)</f>
        <v>-500000</v>
      </c>
      <c r="R20" s="115"/>
      <c r="S20" s="116">
        <f>SUM(S17:S19)</f>
        <v>-200000</v>
      </c>
      <c r="U20" s="38">
        <f>SUM(U17:U19)</f>
        <v>4100000</v>
      </c>
      <c r="V20" s="115"/>
      <c r="W20" s="116">
        <f>SUM(W17:W19)</f>
        <v>0</v>
      </c>
      <c r="Y20" s="38">
        <f>SUM(Y17:Y19)</f>
        <v>-5400000</v>
      </c>
      <c r="Z20" s="115"/>
      <c r="AA20" s="116">
        <f>SUM(AA17:AA19)</f>
        <v>-5000000</v>
      </c>
      <c r="AC20" s="38">
        <f>SUM(AC17:AC19)</f>
        <v>-5400000</v>
      </c>
      <c r="AD20" s="115"/>
      <c r="AE20" s="116">
        <f>SUM(AE17:AE19)</f>
        <v>-5000000</v>
      </c>
      <c r="AG20" s="38">
        <f>SUM(AG17:AG19)</f>
        <v>3500000</v>
      </c>
      <c r="AH20" s="115"/>
      <c r="AI20" s="116">
        <f>SUM(AI17:AI19)</f>
        <v>3000000</v>
      </c>
    </row>
    <row r="21" spans="3:35" x14ac:dyDescent="0.3">
      <c r="E21" s="13"/>
      <c r="G21" s="14"/>
      <c r="I21" s="13"/>
      <c r="J21" s="2"/>
      <c r="K21" s="35"/>
      <c r="M21" s="13"/>
      <c r="N21" s="2"/>
      <c r="O21" s="35"/>
      <c r="Q21" s="13"/>
      <c r="R21" s="2"/>
      <c r="S21" s="35"/>
      <c r="U21" s="13"/>
      <c r="V21" s="2"/>
      <c r="W21" s="35"/>
      <c r="Y21" s="13"/>
      <c r="Z21" s="2"/>
      <c r="AA21" s="35"/>
      <c r="AC21" s="13"/>
      <c r="AD21" s="2"/>
      <c r="AE21" s="35"/>
      <c r="AG21" s="13"/>
      <c r="AH21" s="2"/>
      <c r="AI21" s="35"/>
    </row>
    <row r="22" spans="3:35" x14ac:dyDescent="0.3">
      <c r="C22" t="s">
        <v>137</v>
      </c>
      <c r="E22" s="38">
        <f>E14+E20</f>
        <v>-4000000</v>
      </c>
      <c r="F22" s="7">
        <v>3000000</v>
      </c>
      <c r="G22" s="15">
        <f>E22+F22</f>
        <v>-1000000</v>
      </c>
      <c r="I22" s="38">
        <f>I14+I20</f>
        <v>-2100000</v>
      </c>
      <c r="J22" s="115">
        <v>700000</v>
      </c>
      <c r="K22" s="116">
        <f>I22+J22</f>
        <v>-1400000</v>
      </c>
      <c r="M22" s="38">
        <f>M14+M20</f>
        <v>-3700000</v>
      </c>
      <c r="N22" s="115">
        <v>-800000</v>
      </c>
      <c r="O22" s="116">
        <f>M22+N22</f>
        <v>-4500000</v>
      </c>
      <c r="Q22" s="38">
        <f>Q14+Q20</f>
        <v>-9500000</v>
      </c>
      <c r="R22" s="115">
        <v>2300000</v>
      </c>
      <c r="S22" s="116">
        <f>Q22+R22</f>
        <v>-7200000</v>
      </c>
      <c r="U22" s="38">
        <f>U14+U20</f>
        <v>-4900000</v>
      </c>
      <c r="V22" s="115">
        <v>2900000</v>
      </c>
      <c r="W22" s="116">
        <f>U22+V22</f>
        <v>-2000000</v>
      </c>
      <c r="Y22" s="38">
        <f>Y14+Y20</f>
        <v>-14400000</v>
      </c>
      <c r="Z22" s="115">
        <v>7400000</v>
      </c>
      <c r="AA22" s="116">
        <f>Y22+Z22</f>
        <v>-7000000</v>
      </c>
      <c r="AC22" s="38">
        <f>AC14+AC20</f>
        <v>-14400000</v>
      </c>
      <c r="AD22" s="115">
        <v>400000</v>
      </c>
      <c r="AE22" s="116">
        <f>AC22+AD22</f>
        <v>-14000000</v>
      </c>
      <c r="AG22" s="38">
        <f>AG14+AG20</f>
        <v>-5500000</v>
      </c>
      <c r="AH22" s="115">
        <v>-500000</v>
      </c>
      <c r="AI22" s="116">
        <f>AG22+AH22</f>
        <v>-6000000</v>
      </c>
    </row>
    <row r="23" spans="3:35" x14ac:dyDescent="0.3">
      <c r="E23" s="13"/>
      <c r="G23" s="14"/>
      <c r="I23" s="13"/>
      <c r="J23" s="2"/>
      <c r="K23" s="35"/>
      <c r="M23" s="13"/>
      <c r="N23" s="2"/>
      <c r="O23" s="35"/>
      <c r="Q23" s="13"/>
      <c r="R23" s="2"/>
      <c r="S23" s="35"/>
      <c r="U23" s="13"/>
      <c r="V23" s="2"/>
      <c r="W23" s="35"/>
      <c r="Y23" s="13"/>
      <c r="Z23" s="2"/>
      <c r="AA23" s="35"/>
      <c r="AC23" s="13"/>
      <c r="AD23" s="2"/>
      <c r="AE23" s="35"/>
      <c r="AG23" s="13"/>
      <c r="AH23" s="2"/>
      <c r="AI23" s="35"/>
    </row>
    <row r="24" spans="3:35" x14ac:dyDescent="0.3">
      <c r="C24" t="s">
        <v>138</v>
      </c>
      <c r="E24" s="22"/>
      <c r="F24" s="24">
        <v>3000000</v>
      </c>
      <c r="G24" s="29"/>
      <c r="I24" s="22"/>
      <c r="J24" s="117">
        <f>J22</f>
        <v>700000</v>
      </c>
      <c r="K24" s="118"/>
      <c r="M24" s="22"/>
      <c r="N24" s="117">
        <f>N22</f>
        <v>-800000</v>
      </c>
      <c r="O24" s="118"/>
      <c r="Q24" s="22"/>
      <c r="R24" s="117">
        <f>R22</f>
        <v>2300000</v>
      </c>
      <c r="S24" s="118"/>
      <c r="U24" s="22"/>
      <c r="V24" s="117">
        <f>V22</f>
        <v>2900000</v>
      </c>
      <c r="W24" s="118"/>
      <c r="Y24" s="22"/>
      <c r="Z24" s="117">
        <f>Z22</f>
        <v>7400000</v>
      </c>
      <c r="AA24" s="118"/>
      <c r="AC24" s="22"/>
      <c r="AD24" s="117">
        <f>AD22</f>
        <v>400000</v>
      </c>
      <c r="AE24" s="118"/>
      <c r="AG24" s="22"/>
      <c r="AH24" s="117">
        <f>AH22</f>
        <v>-500000</v>
      </c>
      <c r="AI24" s="118"/>
    </row>
    <row r="26" spans="3:35" x14ac:dyDescent="0.3">
      <c r="I26" s="188" t="s">
        <v>139</v>
      </c>
      <c r="J26" s="199"/>
      <c r="K26" s="199"/>
      <c r="M26" s="188" t="s">
        <v>140</v>
      </c>
      <c r="N26" s="199"/>
      <c r="O26" s="199"/>
      <c r="Q26" s="188" t="s">
        <v>141</v>
      </c>
      <c r="R26" s="199"/>
      <c r="S26" s="199"/>
      <c r="U26" s="188" t="s">
        <v>142</v>
      </c>
      <c r="V26" s="199"/>
      <c r="W26" s="199"/>
      <c r="Y26" s="188" t="s">
        <v>143</v>
      </c>
      <c r="Z26" s="199"/>
      <c r="AA26" s="199"/>
      <c r="AC26" s="188" t="s">
        <v>144</v>
      </c>
      <c r="AD26" s="199"/>
      <c r="AE26" s="199"/>
      <c r="AG26" s="188" t="s">
        <v>145</v>
      </c>
      <c r="AH26" s="199"/>
      <c r="AI26" s="199"/>
    </row>
    <row r="27" spans="3:35" x14ac:dyDescent="0.3">
      <c r="I27" s="199"/>
      <c r="J27" s="199"/>
      <c r="K27" s="199"/>
      <c r="M27" s="199"/>
      <c r="N27" s="199"/>
      <c r="O27" s="199"/>
      <c r="Q27" s="199"/>
      <c r="R27" s="199"/>
      <c r="S27" s="199"/>
      <c r="U27" s="199"/>
      <c r="V27" s="199"/>
      <c r="W27" s="199"/>
      <c r="Y27" s="199"/>
      <c r="Z27" s="199"/>
      <c r="AA27" s="199"/>
      <c r="AC27" s="199"/>
      <c r="AD27" s="199"/>
      <c r="AE27" s="199"/>
      <c r="AG27" s="199"/>
      <c r="AH27" s="199"/>
      <c r="AI27" s="199"/>
    </row>
    <row r="28" spans="3:35" x14ac:dyDescent="0.3">
      <c r="I28" s="199"/>
      <c r="J28" s="199"/>
      <c r="K28" s="199"/>
      <c r="M28" s="199"/>
      <c r="N28" s="199"/>
      <c r="O28" s="199"/>
      <c r="Q28" s="199"/>
      <c r="R28" s="199"/>
      <c r="S28" s="199"/>
      <c r="U28" s="199"/>
      <c r="V28" s="199"/>
      <c r="W28" s="199"/>
      <c r="Y28" s="199"/>
      <c r="Z28" s="199"/>
      <c r="AA28" s="199"/>
      <c r="AC28" s="199"/>
      <c r="AD28" s="199"/>
      <c r="AE28" s="199"/>
      <c r="AG28" s="199"/>
      <c r="AH28" s="199"/>
      <c r="AI28" s="199"/>
    </row>
    <row r="29" spans="3:35" x14ac:dyDescent="0.3">
      <c r="I29" s="199"/>
      <c r="J29" s="199"/>
      <c r="K29" s="199"/>
      <c r="M29" s="199"/>
      <c r="N29" s="199"/>
      <c r="O29" s="199"/>
      <c r="Q29" s="199"/>
      <c r="R29" s="199"/>
      <c r="S29" s="199"/>
      <c r="U29" s="199"/>
      <c r="V29" s="199"/>
      <c r="W29" s="199"/>
      <c r="Y29" s="199"/>
      <c r="Z29" s="199"/>
      <c r="AA29" s="199"/>
      <c r="AC29" s="199"/>
      <c r="AD29" s="199"/>
      <c r="AE29" s="199"/>
      <c r="AG29" s="199"/>
      <c r="AH29" s="199"/>
      <c r="AI29" s="199"/>
    </row>
    <row r="30" spans="3:35" x14ac:dyDescent="0.3">
      <c r="I30" s="199"/>
      <c r="J30" s="199"/>
      <c r="K30" s="199"/>
      <c r="M30" s="199"/>
      <c r="N30" s="199"/>
      <c r="O30" s="199"/>
      <c r="Q30" s="199"/>
      <c r="R30" s="199"/>
      <c r="S30" s="199"/>
      <c r="U30" s="199"/>
      <c r="V30" s="199"/>
      <c r="W30" s="199"/>
      <c r="Y30" s="199"/>
      <c r="Z30" s="199"/>
      <c r="AA30" s="199"/>
      <c r="AC30" s="199"/>
      <c r="AD30" s="199"/>
      <c r="AE30" s="199"/>
      <c r="AG30" s="199"/>
      <c r="AH30" s="199"/>
      <c r="AI30" s="199"/>
    </row>
    <row r="31" spans="3:35" x14ac:dyDescent="0.3">
      <c r="I31" s="199"/>
      <c r="J31" s="199"/>
      <c r="K31" s="199"/>
      <c r="M31" s="199"/>
      <c r="N31" s="199"/>
      <c r="O31" s="199"/>
      <c r="Q31" s="199"/>
      <c r="R31" s="199"/>
      <c r="S31" s="199"/>
      <c r="U31" s="199"/>
      <c r="V31" s="199"/>
      <c r="W31" s="199"/>
      <c r="Y31" s="199"/>
      <c r="Z31" s="199"/>
      <c r="AA31" s="199"/>
      <c r="AC31" s="199"/>
      <c r="AD31" s="199"/>
      <c r="AE31" s="199"/>
      <c r="AG31" s="199"/>
      <c r="AH31" s="199"/>
      <c r="AI31" s="199"/>
    </row>
    <row r="32" spans="3:35" x14ac:dyDescent="0.3">
      <c r="I32" s="199"/>
      <c r="J32" s="199"/>
      <c r="K32" s="199"/>
      <c r="M32" s="199"/>
      <c r="N32" s="199"/>
      <c r="O32" s="199"/>
      <c r="Q32" s="199"/>
      <c r="R32" s="199"/>
      <c r="S32" s="199"/>
      <c r="U32" s="199"/>
      <c r="V32" s="199"/>
      <c r="W32" s="199"/>
      <c r="Y32" s="199"/>
      <c r="Z32" s="199"/>
      <c r="AA32" s="199"/>
      <c r="AC32" s="199"/>
      <c r="AD32" s="199"/>
      <c r="AE32" s="199"/>
      <c r="AG32" s="199"/>
      <c r="AH32" s="199"/>
      <c r="AI32" s="199"/>
    </row>
    <row r="33" spans="9:35" x14ac:dyDescent="0.3">
      <c r="I33" s="199"/>
      <c r="J33" s="199"/>
      <c r="K33" s="199"/>
      <c r="M33" s="199"/>
      <c r="N33" s="199"/>
      <c r="O33" s="199"/>
      <c r="Q33" s="199"/>
      <c r="R33" s="199"/>
      <c r="S33" s="199"/>
      <c r="U33" s="199"/>
      <c r="V33" s="199"/>
      <c r="W33" s="199"/>
      <c r="Y33" s="199"/>
      <c r="Z33" s="199"/>
      <c r="AA33" s="199"/>
      <c r="AC33" s="199"/>
      <c r="AD33" s="199"/>
      <c r="AE33" s="199"/>
      <c r="AG33" s="199"/>
      <c r="AH33" s="199"/>
      <c r="AI33" s="199"/>
    </row>
    <row r="34" spans="9:35" x14ac:dyDescent="0.3">
      <c r="I34" s="199"/>
      <c r="J34" s="199"/>
      <c r="K34" s="199"/>
      <c r="M34" s="199"/>
      <c r="N34" s="199"/>
      <c r="O34" s="199"/>
      <c r="Q34" s="199"/>
      <c r="R34" s="199"/>
      <c r="S34" s="199"/>
      <c r="U34" s="199"/>
      <c r="V34" s="199"/>
      <c r="W34" s="199"/>
      <c r="Y34" s="199"/>
      <c r="Z34" s="199"/>
      <c r="AA34" s="199"/>
      <c r="AC34" s="199"/>
      <c r="AD34" s="199"/>
      <c r="AE34" s="199"/>
      <c r="AG34" s="199"/>
      <c r="AH34" s="199"/>
      <c r="AI34" s="199"/>
    </row>
    <row r="35" spans="9:35" x14ac:dyDescent="0.3">
      <c r="I35" s="199"/>
      <c r="J35" s="199"/>
      <c r="K35" s="199"/>
      <c r="M35" s="199"/>
      <c r="N35" s="199"/>
      <c r="O35" s="199"/>
      <c r="Q35" s="199"/>
      <c r="R35" s="199"/>
      <c r="S35" s="199"/>
      <c r="U35" s="199"/>
      <c r="V35" s="199"/>
      <c r="W35" s="199"/>
      <c r="Y35" s="199"/>
      <c r="Z35" s="199"/>
      <c r="AA35" s="199"/>
      <c r="AC35" s="199"/>
      <c r="AD35" s="199"/>
      <c r="AE35" s="199"/>
      <c r="AG35" s="199"/>
      <c r="AH35" s="199"/>
      <c r="AI35" s="199"/>
    </row>
    <row r="36" spans="9:35" x14ac:dyDescent="0.3">
      <c r="I36" s="199"/>
      <c r="J36" s="199"/>
      <c r="K36" s="199"/>
      <c r="M36" s="199"/>
      <c r="N36" s="199"/>
      <c r="O36" s="199"/>
      <c r="Q36" s="199"/>
      <c r="R36" s="199"/>
      <c r="S36" s="199"/>
      <c r="U36" s="199"/>
      <c r="V36" s="199"/>
      <c r="W36" s="199"/>
      <c r="Y36" s="199"/>
      <c r="Z36" s="199"/>
      <c r="AA36" s="199"/>
      <c r="AC36" s="199"/>
      <c r="AD36" s="199"/>
      <c r="AE36" s="199"/>
      <c r="AG36" s="199"/>
      <c r="AH36" s="199"/>
      <c r="AI36" s="199"/>
    </row>
    <row r="37" spans="9:35" x14ac:dyDescent="0.3">
      <c r="I37" s="199"/>
      <c r="J37" s="199"/>
      <c r="K37" s="199"/>
      <c r="M37" s="199"/>
      <c r="N37" s="199"/>
      <c r="O37" s="199"/>
      <c r="Q37" s="199"/>
      <c r="R37" s="199"/>
      <c r="S37" s="199"/>
      <c r="U37" s="199"/>
      <c r="V37" s="199"/>
      <c r="W37" s="199"/>
      <c r="Y37" s="199"/>
      <c r="Z37" s="199"/>
      <c r="AA37" s="199"/>
      <c r="AC37" s="199"/>
      <c r="AD37" s="199"/>
      <c r="AE37" s="199"/>
      <c r="AG37" s="199"/>
      <c r="AH37" s="199"/>
      <c r="AI37" s="199"/>
    </row>
    <row r="38" spans="9:35" x14ac:dyDescent="0.3">
      <c r="I38" s="199"/>
      <c r="J38" s="199"/>
      <c r="K38" s="199"/>
      <c r="M38" s="199"/>
      <c r="N38" s="199"/>
      <c r="O38" s="199"/>
      <c r="Q38" s="199"/>
      <c r="R38" s="199"/>
      <c r="S38" s="199"/>
      <c r="U38" s="199"/>
      <c r="V38" s="199"/>
      <c r="W38" s="199"/>
      <c r="Y38" s="199"/>
      <c r="Z38" s="199"/>
      <c r="AA38" s="199"/>
      <c r="AC38" s="199"/>
      <c r="AD38" s="199"/>
      <c r="AE38" s="199"/>
      <c r="AG38" s="199"/>
      <c r="AH38" s="199"/>
      <c r="AI38" s="199"/>
    </row>
    <row r="39" spans="9:35" x14ac:dyDescent="0.3">
      <c r="I39" s="199"/>
      <c r="J39" s="199"/>
      <c r="K39" s="199"/>
      <c r="M39" s="199"/>
      <c r="N39" s="199"/>
      <c r="O39" s="199"/>
      <c r="Q39" s="199"/>
      <c r="R39" s="199"/>
      <c r="S39" s="199"/>
      <c r="U39" s="199"/>
      <c r="V39" s="199"/>
      <c r="W39" s="199"/>
      <c r="Y39" s="199"/>
      <c r="Z39" s="199"/>
      <c r="AA39" s="199"/>
      <c r="AC39" s="199"/>
      <c r="AD39" s="199"/>
      <c r="AE39" s="199"/>
      <c r="AG39" s="199"/>
      <c r="AH39" s="199"/>
      <c r="AI39" s="199"/>
    </row>
    <row r="40" spans="9:35" x14ac:dyDescent="0.3">
      <c r="I40" s="199"/>
      <c r="J40" s="199"/>
      <c r="K40" s="199"/>
      <c r="M40" s="199"/>
      <c r="N40" s="199"/>
      <c r="O40" s="199"/>
      <c r="Q40" s="199"/>
      <c r="R40" s="199"/>
      <c r="S40" s="199"/>
      <c r="U40" s="199"/>
      <c r="V40" s="199"/>
      <c r="W40" s="199"/>
      <c r="Y40" s="199"/>
      <c r="Z40" s="199"/>
      <c r="AA40" s="199"/>
      <c r="AC40" s="199"/>
      <c r="AD40" s="199"/>
      <c r="AE40" s="199"/>
      <c r="AG40" s="199"/>
      <c r="AH40" s="199"/>
      <c r="AI40" s="199"/>
    </row>
    <row r="41" spans="9:35" x14ac:dyDescent="0.3">
      <c r="I41" s="199"/>
      <c r="J41" s="199"/>
      <c r="K41" s="199"/>
      <c r="M41" s="199"/>
      <c r="N41" s="199"/>
      <c r="O41" s="199"/>
      <c r="Q41" s="199"/>
      <c r="R41" s="199"/>
      <c r="S41" s="199"/>
      <c r="U41" s="199"/>
      <c r="V41" s="199"/>
      <c r="W41" s="199"/>
      <c r="Y41" s="199"/>
      <c r="Z41" s="199"/>
      <c r="AA41" s="199"/>
      <c r="AC41" s="199"/>
      <c r="AD41" s="199"/>
      <c r="AE41" s="199"/>
      <c r="AG41" s="199"/>
      <c r="AH41" s="199"/>
      <c r="AI41" s="199"/>
    </row>
    <row r="42" spans="9:35" x14ac:dyDescent="0.3">
      <c r="I42" s="199"/>
      <c r="J42" s="199"/>
      <c r="K42" s="199"/>
      <c r="M42" s="199"/>
      <c r="N42" s="199"/>
      <c r="O42" s="199"/>
      <c r="Q42" s="199"/>
      <c r="R42" s="199"/>
      <c r="S42" s="199"/>
      <c r="U42" s="199"/>
      <c r="V42" s="199"/>
      <c r="W42" s="199"/>
      <c r="Y42" s="199"/>
      <c r="Z42" s="199"/>
      <c r="AA42" s="199"/>
      <c r="AC42" s="199"/>
      <c r="AD42" s="199"/>
      <c r="AE42" s="199"/>
      <c r="AG42" s="199"/>
      <c r="AH42" s="199"/>
      <c r="AI42" s="199"/>
    </row>
    <row r="43" spans="9:35" x14ac:dyDescent="0.3">
      <c r="I43" s="199"/>
      <c r="J43" s="199"/>
      <c r="K43" s="199"/>
      <c r="M43" s="199"/>
      <c r="N43" s="199"/>
      <c r="O43" s="199"/>
      <c r="Q43" s="199"/>
      <c r="R43" s="199"/>
      <c r="S43" s="199"/>
      <c r="U43" s="199"/>
      <c r="V43" s="199"/>
      <c r="W43" s="199"/>
      <c r="Y43" s="199"/>
      <c r="Z43" s="199"/>
      <c r="AA43" s="199"/>
      <c r="AC43" s="199"/>
      <c r="AD43" s="199"/>
      <c r="AE43" s="199"/>
      <c r="AG43" s="199"/>
      <c r="AH43" s="199"/>
      <c r="AI43" s="199"/>
    </row>
    <row r="44" spans="9:35" x14ac:dyDescent="0.3">
      <c r="I44" s="199"/>
      <c r="J44" s="199"/>
      <c r="K44" s="199"/>
      <c r="M44" s="199"/>
      <c r="N44" s="199"/>
      <c r="O44" s="199"/>
      <c r="Q44" s="199"/>
      <c r="R44" s="199"/>
      <c r="S44" s="199"/>
      <c r="U44" s="199"/>
      <c r="V44" s="199"/>
      <c r="W44" s="199"/>
      <c r="Y44" s="199"/>
      <c r="Z44" s="199"/>
      <c r="AA44" s="199"/>
      <c r="AC44" s="199"/>
      <c r="AD44" s="199"/>
      <c r="AE44" s="199"/>
      <c r="AG44" s="199"/>
      <c r="AH44" s="199"/>
      <c r="AI44" s="199"/>
    </row>
    <row r="45" spans="9:35" x14ac:dyDescent="0.3">
      <c r="I45" s="199"/>
      <c r="J45" s="199"/>
      <c r="K45" s="199"/>
      <c r="M45" s="199"/>
      <c r="N45" s="199"/>
      <c r="O45" s="199"/>
      <c r="Q45" s="199"/>
      <c r="R45" s="199"/>
      <c r="S45" s="199"/>
      <c r="U45" s="199"/>
      <c r="V45" s="199"/>
      <c r="W45" s="199"/>
      <c r="Y45" s="199"/>
      <c r="Z45" s="199"/>
      <c r="AA45" s="199"/>
      <c r="AC45" s="199"/>
      <c r="AD45" s="199"/>
      <c r="AE45" s="199"/>
      <c r="AG45" s="199"/>
      <c r="AH45" s="199"/>
      <c r="AI45" s="199"/>
    </row>
    <row r="46" spans="9:35" x14ac:dyDescent="0.3">
      <c r="I46" s="199"/>
      <c r="J46" s="199"/>
      <c r="K46" s="199"/>
      <c r="M46" s="199"/>
      <c r="N46" s="199"/>
      <c r="O46" s="199"/>
      <c r="Q46" s="199"/>
      <c r="R46" s="199"/>
      <c r="S46" s="199"/>
      <c r="U46" s="199"/>
      <c r="V46" s="199"/>
      <c r="W46" s="199"/>
      <c r="Y46" s="199"/>
      <c r="Z46" s="199"/>
      <c r="AA46" s="199"/>
      <c r="AC46" s="199"/>
      <c r="AD46" s="199"/>
      <c r="AE46" s="199"/>
      <c r="AG46" s="199"/>
      <c r="AH46" s="199"/>
      <c r="AI46" s="199"/>
    </row>
    <row r="47" spans="9:35" x14ac:dyDescent="0.3">
      <c r="I47" s="199"/>
      <c r="J47" s="199"/>
      <c r="K47" s="199"/>
      <c r="M47" s="199"/>
      <c r="N47" s="199"/>
      <c r="O47" s="199"/>
      <c r="Q47" s="199"/>
      <c r="R47" s="199"/>
      <c r="S47" s="199"/>
      <c r="U47" s="199"/>
      <c r="V47" s="199"/>
      <c r="W47" s="199"/>
      <c r="Y47" s="199"/>
      <c r="Z47" s="199"/>
      <c r="AA47" s="199"/>
      <c r="AC47" s="199"/>
      <c r="AD47" s="199"/>
      <c r="AE47" s="199"/>
      <c r="AG47" s="199"/>
      <c r="AH47" s="199"/>
      <c r="AI47" s="199"/>
    </row>
  </sheetData>
  <mergeCells count="15">
    <mergeCell ref="E7:G7"/>
    <mergeCell ref="I7:K7"/>
    <mergeCell ref="M7:O7"/>
    <mergeCell ref="Q7:S7"/>
    <mergeCell ref="U7:W7"/>
    <mergeCell ref="AC7:AE7"/>
    <mergeCell ref="AG7:AI7"/>
    <mergeCell ref="I26:K47"/>
    <mergeCell ref="M26:O47"/>
    <mergeCell ref="Q26:S47"/>
    <mergeCell ref="U26:W47"/>
    <mergeCell ref="Y26:AA47"/>
    <mergeCell ref="AC26:AE47"/>
    <mergeCell ref="AG26:AI47"/>
    <mergeCell ref="Y7:AA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251152-B507-44F6-9C51-4502849840AB}"/>
</file>

<file path=customXml/itemProps2.xml><?xml version="1.0" encoding="utf-8"?>
<ds:datastoreItem xmlns:ds="http://schemas.openxmlformats.org/officeDocument/2006/customXml" ds:itemID="{91A00BCB-DCF7-4C62-B114-943EF5159B05}"/>
</file>

<file path=customXml/itemProps3.xml><?xml version="1.0" encoding="utf-8"?>
<ds:datastoreItem xmlns:ds="http://schemas.openxmlformats.org/officeDocument/2006/customXml" ds:itemID="{7BE52A77-7061-46AA-AFFF-DBE495BAD20F}"/>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vt:lpstr>
      <vt:lpstr>Q1 LO 1b RET201-103-25</vt:lpstr>
      <vt:lpstr>A1</vt:lpstr>
      <vt:lpstr>Q3 DA-136 Ret Q</vt:lpstr>
      <vt:lpstr>A3</vt:lpstr>
      <vt:lpstr>Q4 LO 2d Cred Edu Res</vt:lpstr>
      <vt:lpstr>A4</vt:lpstr>
      <vt:lpstr>Q5 LO 3a RET201-109-25</vt:lpstr>
      <vt:lpstr>A5</vt:lpstr>
      <vt:lpstr>Q6 LO 3a RET 201-112-25</vt:lpstr>
      <vt:lpstr>A6</vt:lpstr>
      <vt:lpstr>Q7 LO4d RET201-115-25</vt:lpstr>
      <vt:lpstr>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2025-06-27T03:16:54Z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